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3176" tabRatio="630"/>
  </bookViews>
  <sheets>
    <sheet name="Plano de Aplicação" sheetId="8" r:id="rId1"/>
    <sheet name="Memória de cálculo investimento" sheetId="11" r:id="rId2"/>
    <sheet name="Cálculos" sheetId="12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1"/>
  <c r="J50"/>
  <c r="J51"/>
  <c r="J52"/>
  <c r="J53"/>
  <c r="J54"/>
  <c r="J55"/>
  <c r="J56"/>
  <c r="J57"/>
  <c r="J58"/>
  <c r="J59"/>
  <c r="J60"/>
  <c r="J61"/>
  <c r="J62"/>
  <c r="J63"/>
  <c r="J48"/>
  <c r="K41"/>
  <c r="K42"/>
  <c r="K43"/>
  <c r="K44"/>
  <c r="K45"/>
  <c r="K46"/>
  <c r="K47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B21" i="8" l="1"/>
  <c r="B20"/>
  <c r="B23"/>
  <c r="B19"/>
  <c r="B15" l="1"/>
  <c r="B57"/>
  <c r="P35" i="12" l="1"/>
  <c r="P17"/>
  <c r="M22"/>
  <c r="I22"/>
  <c r="F22"/>
  <c r="F36" s="1"/>
  <c r="G22"/>
  <c r="G36" s="1"/>
  <c r="H22"/>
  <c r="I36"/>
  <c r="J22"/>
  <c r="K22"/>
  <c r="L22"/>
  <c r="L36" s="1"/>
  <c r="N22"/>
  <c r="N36" s="1"/>
  <c r="O22"/>
  <c r="E22"/>
  <c r="J68" i="11"/>
  <c r="K22"/>
  <c r="K21"/>
  <c r="K20"/>
  <c r="K19"/>
  <c r="K18"/>
  <c r="K17"/>
  <c r="P40" i="12"/>
  <c r="O36"/>
  <c r="M36"/>
  <c r="J36"/>
  <c r="H36"/>
  <c r="E36"/>
  <c r="D36"/>
  <c r="P34"/>
  <c r="P33"/>
  <c r="P32"/>
  <c r="P31"/>
  <c r="P30"/>
  <c r="P29"/>
  <c r="P28"/>
  <c r="P27"/>
  <c r="P26"/>
  <c r="P25"/>
  <c r="P24"/>
  <c r="P23"/>
  <c r="Q21"/>
  <c r="P21"/>
  <c r="Q20"/>
  <c r="P20"/>
  <c r="P19"/>
  <c r="B38" i="8" s="1"/>
  <c r="P18" i="12"/>
  <c r="P16"/>
  <c r="B33" i="8" s="1"/>
  <c r="P15" i="12"/>
  <c r="P14"/>
  <c r="O13"/>
  <c r="N13"/>
  <c r="M13"/>
  <c r="L13"/>
  <c r="K13"/>
  <c r="J13"/>
  <c r="I13"/>
  <c r="H13"/>
  <c r="G13"/>
  <c r="F13"/>
  <c r="E13"/>
  <c r="D13"/>
  <c r="Q12"/>
  <c r="P12"/>
  <c r="P11"/>
  <c r="P10"/>
  <c r="P9"/>
  <c r="B28" i="8" s="1"/>
  <c r="B30" s="1"/>
  <c r="P8" i="12"/>
  <c r="B11" i="8" s="1"/>
  <c r="C9" s="1"/>
  <c r="Q7" i="12"/>
  <c r="P7"/>
  <c r="B68" i="8" s="1"/>
  <c r="B49"/>
  <c r="K68" i="11" l="1"/>
  <c r="J69" s="1"/>
  <c r="B72" i="8" s="1" a="1"/>
  <c r="B72" s="1"/>
  <c r="C70" s="1"/>
  <c r="P22" i="12"/>
  <c r="P43" s="1"/>
  <c r="Q43" s="1"/>
  <c r="K36"/>
  <c r="P36" s="1"/>
  <c r="P13"/>
  <c r="B34" i="8"/>
  <c r="B35"/>
  <c r="B39"/>
  <c r="B40"/>
  <c r="P42" i="12"/>
  <c r="Q42" s="1"/>
  <c r="C13" i="8"/>
  <c r="C66"/>
  <c r="C64"/>
  <c r="B29"/>
  <c r="C26" s="1"/>
  <c r="C18"/>
  <c r="D60"/>
  <c r="B43" l="1"/>
  <c r="B44" s="1"/>
  <c r="C31"/>
  <c r="C36"/>
  <c r="P38" i="12"/>
  <c r="P39" s="1"/>
  <c r="C46" i="8"/>
  <c r="C8"/>
  <c r="B53" s="1"/>
  <c r="C60"/>
  <c r="B45" l="1"/>
  <c r="C41" s="1"/>
  <c r="C25" s="1"/>
  <c r="B54" s="1"/>
  <c r="C52" s="1"/>
  <c r="C74" s="1"/>
  <c r="C75" s="1"/>
  <c r="C72"/>
</calcChain>
</file>

<file path=xl/comments1.xml><?xml version="1.0" encoding="utf-8"?>
<comments xmlns="http://schemas.openxmlformats.org/spreadsheetml/2006/main">
  <authors>
    <author>Carolina Miramar de Souza Almeida</author>
  </authors>
  <commentList>
    <comment ref="B72" authorId="0">
      <text>
        <r>
          <rPr>
            <b/>
            <sz val="7"/>
            <color indexed="81"/>
            <rFont val="Tahoma"/>
            <family val="2"/>
          </rPr>
          <t>Caso o resultado dos empreendimentos no anexo III seja negativo, insira o número com sinal de subtração.</t>
        </r>
      </text>
    </comment>
    <comment ref="C73" authorId="0">
      <text>
        <r>
          <rPr>
            <b/>
            <sz val="8"/>
            <color indexed="81"/>
            <rFont val="Arial"/>
            <family val="2"/>
          </rPr>
          <t>Recurso de custeio transferido para investimento.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 xmlns:xda="http://schemas.microsoft.com/office/spreadsheetml/2017/dynamicarray"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<sst xmlns="http://schemas.openxmlformats.org/spreadsheetml/2006/main" count="328" uniqueCount="237">
  <si>
    <t>ANEXO I - PLANO DE APLICAÇÃO DE RECURSOS DA COBRANÇA PARA (ANO)</t>
  </si>
  <si>
    <t>Decreto estadual nº 50.667, de 30 de março de 2006</t>
  </si>
  <si>
    <t>1 RECEITA</t>
  </si>
  <si>
    <t>SUB-TOTAL</t>
  </si>
  <si>
    <t>TOTAL</t>
  </si>
  <si>
    <t>%</t>
  </si>
  <si>
    <t>2 AJUSTE DA RECEITA (ANO ANTERIOR)</t>
  </si>
  <si>
    <t>2.1 Ajuste da Arrecadação</t>
  </si>
  <si>
    <t>2.1.1 Previsão de arrecadação (ano anterior)</t>
  </si>
  <si>
    <t>2.1.2 Arrecadação (ano anterior)</t>
  </si>
  <si>
    <t>2.1.3 Restituição de valores cobrados pelo uso da água ao usuário</t>
  </si>
  <si>
    <t xml:space="preserve">2.2 Ajuste do Custeio </t>
  </si>
  <si>
    <t>2.2.1 Previsão de alocação para Custeio (ano anterior)</t>
  </si>
  <si>
    <t>2.2.2 Repasse efetivo para Custeio (ano anterior) (Somatória de "Resgate para transferência ao SP-Águas" + "Repasse sobre valores arrecadados")</t>
  </si>
  <si>
    <t xml:space="preserve">3 DESPESAS DE CUSTEIO </t>
  </si>
  <si>
    <t>3.1 Alocação da previsão de arrecadação (máximo de 10%)</t>
  </si>
  <si>
    <t xml:space="preserve">3.1.1 Custos Operacionais da Cobrança (Alinea "a", Inciso VI, Artigo 22) </t>
  </si>
  <si>
    <t>3.1.2 Atividades de Secretaria Executiva (Alinea "b", Inciso VI, Artigo 22)</t>
  </si>
  <si>
    <t>3.1.3 Outras Despesas de Custeio (Alinea "c", Inciso VI, Artigo 22)</t>
  </si>
  <si>
    <t xml:space="preserve">3.1.4 Pessoal </t>
  </si>
  <si>
    <t>3.1.5 Transferência para SP-Águas - ressarcimento de tarifas de cobrança</t>
  </si>
  <si>
    <t>4 AJUSTES DO EXERCÍCIO ANTERIOR E PREVISÕES PARA O EXERCÍCIO ATUAL</t>
  </si>
  <si>
    <t>4.1 Rendimentos</t>
  </si>
  <si>
    <t>4.1.1 Previsão de rendimentos (ano anterior)</t>
  </si>
  <si>
    <t>4.1.2 Rendimentos (ano anterior)</t>
  </si>
  <si>
    <t>4.1.3 Ajuste do exercício (ano anterior) (previsto x rendimentos)</t>
  </si>
  <si>
    <t>4.1.4 Previsão para o exercício de (ano vigente)</t>
  </si>
  <si>
    <t>4.2 Taxa de Administração do Agente Financeiro (Inc. V, Artigo 22)</t>
  </si>
  <si>
    <t>4.2.1 Previsão da Taxa de Administração (ano anterior)</t>
  </si>
  <si>
    <t>4.2.2 Desembolso efetuado (ano anterior)</t>
  </si>
  <si>
    <t>4.2.3 Ajuste da Taxa de Administração do Agente Financeiro (ano anterior)</t>
  </si>
  <si>
    <t>4.2.4 Provisão para taxa de Administração do Agente Financeiro (vigente)</t>
  </si>
  <si>
    <t>4.3 Taxa de Liberação do Agente Financeiro (Inc. V, Artigo 22)</t>
  </si>
  <si>
    <t>4.3.1 Previsão da Taxa de Liberação do Agente Financeiro (ano anterior)</t>
  </si>
  <si>
    <t>4.3.2 Desembolso efetuado (ano anterior)</t>
  </si>
  <si>
    <t>4.3.3 Ajuste da Taxa de Liberação do Agente Financeiro (ano anterior)</t>
  </si>
  <si>
    <t>4.3.4 Provisão para Taxa de Liberação do Agente Financeiro (ano vigente)</t>
  </si>
  <si>
    <t>4.4 Taxa de Liberação dos Agentes Técnicos (Inc. V, Artigo 22)</t>
  </si>
  <si>
    <t>4.4.1 Previsão da Taxa de Liberação dos Agentes Técnicos (ano anterior)</t>
  </si>
  <si>
    <t>4.4.2 Desembolso efetuado (ano anterior)</t>
  </si>
  <si>
    <t>4.4.3 Ajuste da Taxa de Liberação dos Agentes Técnicos (ano anterior)</t>
  </si>
  <si>
    <t>4.4.4 Provisão para Taxa de Liberação dos Agentes Técnicos (ano vigente)</t>
  </si>
  <si>
    <t>4.5 Taxa de Comissão de Estudos dos Agentes Técnicos (Inc. V, Artigo 22)</t>
  </si>
  <si>
    <t>4.5.1 Previsão da Taxa Comissão de Estudos dos Agentes Técnicos  (ano anterior)</t>
  </si>
  <si>
    <t>4.5.2 Desembolso efetuado (ano anterior)</t>
  </si>
  <si>
    <t>4.5.3 Ajuste da Taxa Comissão de Estudos dos Agentes Técnicos (ano anterior)</t>
  </si>
  <si>
    <t>4.5.4 Provisão para Taxa Comissão de Estudos dos Agentes Técnicos (ano vigente)</t>
  </si>
  <si>
    <t>5 APURAÇÃO PARCIAL DA DISPONIBILIDADE PARA INVESTIMENTO</t>
  </si>
  <si>
    <t>5.1 Ajuste da receita (transporte item 2)</t>
  </si>
  <si>
    <t>5.2 Total dos Ajustes e Previsões (transporte item 4)</t>
  </si>
  <si>
    <t>5.3 Recebimento da Transferência entre Bacias efetuada por outro(s) CBH(s)</t>
  </si>
  <si>
    <t>5.4 Crédito - acerto de valor(es) efetuado pelo Agente Financeiro</t>
  </si>
  <si>
    <t>5.5 Débito - acerto de valor(es) efetuado pelo Agente Financeiro</t>
  </si>
  <si>
    <t>6 DESPESAS DE INVESTIMENTO</t>
  </si>
  <si>
    <t xml:space="preserve">6.1 Alocação da previsão de arrecadação para Investimento </t>
  </si>
  <si>
    <t>6.2 Empréstimos contratados (Inc. I, Artigo 22)</t>
  </si>
  <si>
    <t>6.3 Bases técnicas e instrum.da Política Est. de Rec. Hídricos (Inc. II, Artigo 22)</t>
  </si>
  <si>
    <t>6.4 Transferências entre Bacias (Inc. III, Artigo 22)</t>
  </si>
  <si>
    <t>6.5 Pagamentos (inc. IV, art. 22)</t>
  </si>
  <si>
    <t xml:space="preserve">6.5.1  Manutenção de sistemas de controle da cobrança </t>
  </si>
  <si>
    <t>6.6 Lançamentos a Crédito constantes no extrato bancário (ano anterior)</t>
  </si>
  <si>
    <t>6.6.1 Rendimentos repassados pelo Tomador</t>
  </si>
  <si>
    <t>6.6.2 Devolução de parcelas - contratos não reembolsáveis</t>
  </si>
  <si>
    <t>6.6.3 Pagamento de parcelas - contratos com retorno</t>
  </si>
  <si>
    <t>6.7 Ajuste do exercício (ano anterior)</t>
  </si>
  <si>
    <t>6.7.1 Valor disponibilizado no plano de aplicação da cobrança (ano anterior) para investimento</t>
  </si>
  <si>
    <t xml:space="preserve">6.7.2 Resultado da movimentação dos empreendimentos (transporte do resultado apurado no Anexo II - Memória de cálculo  de investimento - pela diferença entre disponibilidades e valores  comprometidos) </t>
  </si>
  <si>
    <t xml:space="preserve">6.8 Transferência de Recursos de Custeio </t>
  </si>
  <si>
    <r>
      <t xml:space="preserve">6.9 Apuração parcial da disponibilidade para investimento </t>
    </r>
    <r>
      <rPr>
        <sz val="9"/>
        <rFont val="Arial"/>
        <family val="2"/>
      </rPr>
      <t>(transporte item 5)</t>
    </r>
  </si>
  <si>
    <t>APURAÇÃO FINAL DA DISPONIBILIDADE PARA INVESTIMENTO</t>
  </si>
  <si>
    <t>ANEXO II - MEMÓRIA DE CÁLCULO DE INVESTIMENTO</t>
  </si>
  <si>
    <t>FÓRMULAS UTILIZADAS PARA CÁLCULO DOS RESÍDUOS E COMPROMETIDOS</t>
  </si>
  <si>
    <t>SITUAÇÃO</t>
  </si>
  <si>
    <t>Para empreendimentos com código SINFEHIDRO anteriores ao do Plano de Aplicação do (ano anterior)</t>
  </si>
  <si>
    <t xml:space="preserve">Lançar valor final na coluna </t>
  </si>
  <si>
    <t>Para empreendimentos com código SINFEHIDRO
do Plano de Aplicação do (ano anterior)</t>
  </si>
  <si>
    <t>Em análise</t>
  </si>
  <si>
    <t>-</t>
  </si>
  <si>
    <t>Valor da coluna (A)</t>
  </si>
  <si>
    <t>(F)</t>
  </si>
  <si>
    <t>Não Iniciado</t>
  </si>
  <si>
    <t>Valor da coluna (A)-(B)</t>
  </si>
  <si>
    <t>(E)</t>
  </si>
  <si>
    <t>Valor da coluna (B)</t>
  </si>
  <si>
    <t>Em Execução</t>
  </si>
  <si>
    <t>Concluído</t>
  </si>
  <si>
    <t>Valor da coluna (B)+(C)-(D)</t>
  </si>
  <si>
    <t>Cancelado</t>
  </si>
  <si>
    <t>Valor da coluna (A) ou (B)</t>
  </si>
  <si>
    <t>Nº SINFEHIDRO</t>
  </si>
  <si>
    <t>Nº Contrato</t>
  </si>
  <si>
    <t>Situação</t>
  </si>
  <si>
    <t>Data de assinatura</t>
  </si>
  <si>
    <t>Data de conclusão</t>
  </si>
  <si>
    <t>Valor pleiteado
(A)</t>
  </si>
  <si>
    <t>Valor aprovado
(B)</t>
  </si>
  <si>
    <t>Valor aditado
(C)</t>
  </si>
  <si>
    <t>Valor pago
(D)</t>
  </si>
  <si>
    <t>DISPONÍVEL
P/ UTILIZAÇÃO
(E)</t>
  </si>
  <si>
    <r>
      <rPr>
        <b/>
        <sz val="8"/>
        <rFont val="Arial"/>
        <family val="2"/>
      </rPr>
      <t>COMPROMETIDO</t>
    </r>
    <r>
      <rPr>
        <b/>
        <sz val="8.5"/>
        <rFont val="Arial"/>
        <family val="2"/>
      </rPr>
      <t xml:space="preserve">
</t>
    </r>
    <r>
      <rPr>
        <b/>
        <sz val="9"/>
        <rFont val="Arial"/>
        <family val="2"/>
      </rPr>
      <t>(F)</t>
    </r>
  </si>
  <si>
    <t>SALDO EM DEZ/24</t>
  </si>
  <si>
    <t>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</si>
  <si>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</si>
  <si>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</si>
  <si>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</si>
  <si>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</si>
  <si>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</si>
  <si>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</si>
  <si>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</si>
  <si>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</si>
  <si>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</si>
  <si>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</si>
  <si>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</si>
  <si>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</si>
  <si>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MÉDIA</t>
  </si>
  <si>
    <t>(+)</t>
  </si>
  <si>
    <t>Retorno de Operações Não Reembolsáveis</t>
  </si>
  <si>
    <t>Recebimentos de Boletos de Cobrança</t>
  </si>
  <si>
    <t>Rendimentos - Aplicação Financeira</t>
  </si>
  <si>
    <t>(-)</t>
  </si>
  <si>
    <t>Liberação operação não reembolsável</t>
  </si>
  <si>
    <t>Taxa de Administração - Agente Financeiro Cobrança ref. Mês Atual</t>
  </si>
  <si>
    <t>Taxa de Liberação Agente Financeiro - DESENVOLVE SP</t>
  </si>
  <si>
    <t>Taxa de Liberação Agente Técnico - COBRAPE</t>
  </si>
  <si>
    <t>Taxa de Liberação Agente Técnico - MMP</t>
  </si>
  <si>
    <t>Taxa de Liberação Agente Técnico - LBR ENGENHARIA e CONSULTORIA</t>
  </si>
  <si>
    <t>Débito Acerto - Taxa de Adm 10/2024</t>
  </si>
  <si>
    <t>BALANÇO ANUAL (CRED - DEB)</t>
  </si>
  <si>
    <t>RESULTADO ANUAL</t>
  </si>
  <si>
    <t>EXTRATO 31/12/2023</t>
  </si>
  <si>
    <t>Taxa de Liberação Agente Técnico</t>
  </si>
  <si>
    <t>Taxa de Administração</t>
  </si>
  <si>
    <t>Custeio</t>
  </si>
  <si>
    <t>Débito Ajuste BPG / PARDO</t>
  </si>
  <si>
    <t>1.1 Previsão de Arrecadação no Exercício (2026) - Programa 2625 - Ação 2515- LOA</t>
  </si>
  <si>
    <t>2025-PARDO_COB-148</t>
  </si>
  <si>
    <t>200/2025</t>
  </si>
  <si>
    <t>2025-PARDO_COB-157</t>
  </si>
  <si>
    <t>114/2025</t>
  </si>
  <si>
    <t>2025-PARDO_COB-171</t>
  </si>
  <si>
    <t>311/2025</t>
  </si>
  <si>
    <t>2025-PARDO_COB-172</t>
  </si>
  <si>
    <t>272/2025</t>
  </si>
  <si>
    <t>2025-PARDO_COB-146</t>
  </si>
  <si>
    <t>325/2025</t>
  </si>
  <si>
    <t>2025-PARDO_COB-160</t>
  </si>
  <si>
    <t>122/2025</t>
  </si>
  <si>
    <t>2025-PARDO_COB-154</t>
  </si>
  <si>
    <t>226/2025</t>
  </si>
  <si>
    <t>2025-PARDO_COB-152</t>
  </si>
  <si>
    <t>232/2025</t>
  </si>
  <si>
    <t>2025-PARDO_COB-159</t>
  </si>
  <si>
    <t>103/2025</t>
  </si>
  <si>
    <t>2025-PARDO_COB-174</t>
  </si>
  <si>
    <t>326/2025</t>
  </si>
  <si>
    <t>2025-PARDO_COB-143</t>
  </si>
  <si>
    <t>277/2025</t>
  </si>
  <si>
    <t>2025-PARDO_COB-141</t>
  </si>
  <si>
    <t>296/2025</t>
  </si>
  <si>
    <t>2025-PARDO_COB-162</t>
  </si>
  <si>
    <t>347/2025</t>
  </si>
  <si>
    <t>2025-PARDO_COB-164</t>
  </si>
  <si>
    <t>323/2025</t>
  </si>
  <si>
    <t>2025-PARDO_COB-145</t>
  </si>
  <si>
    <t>234/2025</t>
  </si>
  <si>
    <t>2025-PARDO_COB-168</t>
  </si>
  <si>
    <t>295/2025</t>
  </si>
  <si>
    <t>2025-PARDO_COB-151</t>
  </si>
  <si>
    <t>233/2025</t>
  </si>
  <si>
    <t>2025-PARDO_COB-153</t>
  </si>
  <si>
    <t>227/2025</t>
  </si>
  <si>
    <t>2025-PARDO_COB-169</t>
  </si>
  <si>
    <t>208/2025</t>
  </si>
  <si>
    <t>2025-PARDO_COB-144</t>
  </si>
  <si>
    <t>235/2025</t>
  </si>
  <si>
    <t>2025-PARDO_COB-150</t>
  </si>
  <si>
    <t>273/2025</t>
  </si>
  <si>
    <t>2025-PARDO_COB-163</t>
  </si>
  <si>
    <t>346/2025</t>
  </si>
  <si>
    <t>2025-PARDO_COB-170</t>
  </si>
  <si>
    <t>339/2025</t>
  </si>
  <si>
    <t>2025-PARDO_COB-165</t>
  </si>
  <si>
    <t>324/2025</t>
  </si>
  <si>
    <t>PERÍODO</t>
  </si>
  <si>
    <t>08/07/25 A 15/05/26</t>
  </si>
  <si>
    <t>2025-PARDO_COB-161</t>
  </si>
  <si>
    <t>196/2025</t>
  </si>
  <si>
    <t>2025-PARDO_COB-147</t>
  </si>
  <si>
    <t>123/2025</t>
  </si>
  <si>
    <t>2025-PARDO_COB-158</t>
  </si>
  <si>
    <t>211/2025</t>
  </si>
  <si>
    <t>2025-PARDO_COB-167</t>
  </si>
  <si>
    <t>214/2025</t>
  </si>
  <si>
    <t>2025-PARDO_COB-166</t>
  </si>
  <si>
    <t>279/2025</t>
  </si>
  <si>
    <t>2025-PARDO_COB-142</t>
  </si>
  <si>
    <t>213/2025</t>
  </si>
  <si>
    <t>2025-PARDO_COB-156</t>
  </si>
  <si>
    <t>135/2025</t>
  </si>
  <si>
    <t>Em execução</t>
  </si>
  <si>
    <t>2024-PARDO_COB-140</t>
  </si>
  <si>
    <t>2023-PARDO_COB-114</t>
  </si>
  <si>
    <t>2021-PARDO_COB-55</t>
  </si>
  <si>
    <t>2023-PARDO_COB-98</t>
  </si>
  <si>
    <t>2023-PARDO_COB-104</t>
  </si>
  <si>
    <t>2024-PARDO_COB-126</t>
  </si>
  <si>
    <t>2022-PARDO_COB-68</t>
  </si>
  <si>
    <t>2020-PARDO_COB-39</t>
  </si>
  <si>
    <t>2020-PARDO_COB-40</t>
  </si>
  <si>
    <t>2023-PARDO_COB-118</t>
  </si>
  <si>
    <t>2023-PARDO_COB-99</t>
  </si>
  <si>
    <t>2020-PARDO_COB-47</t>
  </si>
  <si>
    <t>2023-PARDO_COB-107</t>
  </si>
  <si>
    <t>2022-PARDO_COB-88</t>
  </si>
  <si>
    <t>2022-PARDO_COB-86</t>
  </si>
  <si>
    <t>2023-PARDO_COB-111</t>
  </si>
  <si>
    <t>200/2024</t>
  </si>
  <si>
    <t>450/2023</t>
  </si>
  <si>
    <t>103/2022</t>
  </si>
  <si>
    <t>272/2023</t>
  </si>
  <si>
    <t>352/2023</t>
  </si>
  <si>
    <t>034/2024</t>
  </si>
  <si>
    <t>229/2023</t>
  </si>
  <si>
    <t>136/2021</t>
  </si>
  <si>
    <t>153/2021</t>
  </si>
  <si>
    <t>459/2023</t>
  </si>
  <si>
    <t>341/2023</t>
  </si>
  <si>
    <t>007/2021</t>
  </si>
  <si>
    <t>424/2023</t>
  </si>
  <si>
    <t>014/2023</t>
  </si>
  <si>
    <t>206/2023</t>
  </si>
  <si>
    <t>480/2023</t>
  </si>
  <si>
    <t>2025-PARDO_COB-173</t>
  </si>
  <si>
    <t>2025-PARDO_COB-155</t>
  </si>
  <si>
    <t>2025-PARDO_COB-149</t>
  </si>
  <si>
    <t xml:space="preserve">DELIBERAÇÃO CBH-PARDO Nº 368/26, DE 22 DE MAIO DE 2026  </t>
  </si>
  <si>
    <t>DELIBERAÇÃO CBH-PARDO Nº 368/2026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</si>
</sst>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[$R$ -416]#,##0.00"/>
    <numFmt numFmtId="166" formatCode="_-&quot;R$&quot;\ * #,##0.00_-;\-&quot;R$&quot;\ * #,##0.00_-;_-&quot;R$&quot;\ * &quot;-&quot;??_-;_-@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sz val="11"/>
      <color theme="1"/>
      <name val="Arial"/>
      <family val="2"/>
    </font>
    <font>
      <u/>
      <sz val="8"/>
      <name val="Arial"/>
      <family val="2"/>
    </font>
    <font>
      <b/>
      <sz val="8"/>
      <color indexed="81"/>
      <name val="Arial"/>
      <family val="2"/>
    </font>
    <font>
      <sz val="11"/>
      <color theme="1"/>
      <name val="Calibri"/>
      <family val="2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77">
    <xf numFmtId="0" fontId="0" fillId="0" borderId="0" xfId="0"/>
    <xf numFmtId="0" fontId="13" fillId="0" borderId="0" xfId="0" applyFont="1"/>
    <xf numFmtId="0" fontId="13" fillId="0" borderId="1" xfId="0" applyFont="1" applyBorder="1"/>
    <xf numFmtId="0" fontId="14" fillId="0" borderId="2" xfId="0" applyFont="1" applyBorder="1"/>
    <xf numFmtId="0" fontId="13" fillId="0" borderId="2" xfId="0" applyFont="1" applyBorder="1"/>
    <xf numFmtId="0" fontId="2" fillId="0" borderId="0" xfId="2" applyFont="1" applyAlignment="1">
      <alignment horizontal="center" wrapText="1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3" fillId="3" borderId="9" xfId="0" applyFont="1" applyFill="1" applyBorder="1" applyAlignment="1" applyProtection="1">
      <alignment vertical="center"/>
      <protection locked="0"/>
    </xf>
    <xf numFmtId="0" fontId="3" fillId="3" borderId="9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2" fillId="3" borderId="3" xfId="2" applyFont="1" applyFill="1" applyBorder="1" applyAlignment="1" applyProtection="1">
      <alignment horizontal="center" vertical="center"/>
      <protection locked="0"/>
    </xf>
    <xf numFmtId="4" fontId="3" fillId="4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4" fontId="4" fillId="0" borderId="0" xfId="0" applyNumberFormat="1" applyFont="1" applyAlignment="1" applyProtection="1">
      <alignment vertical="center"/>
      <protection locked="0"/>
    </xf>
    <xf numFmtId="4" fontId="4" fillId="0" borderId="12" xfId="0" applyNumberFormat="1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4" fontId="3" fillId="4" borderId="14" xfId="0" applyNumberFormat="1" applyFont="1" applyFill="1" applyBorder="1" applyAlignment="1" applyProtection="1">
      <alignment horizontal="center" vertical="center"/>
      <protection locked="0"/>
    </xf>
    <xf numFmtId="4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4" fontId="4" fillId="0" borderId="1" xfId="0" applyNumberFormat="1" applyFont="1" applyBorder="1" applyAlignment="1" applyProtection="1">
      <alignment vertical="center"/>
      <protection locked="0"/>
    </xf>
    <xf numFmtId="0" fontId="16" fillId="0" borderId="15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4" fontId="3" fillId="4" borderId="17" xfId="0" applyNumberFormat="1" applyFont="1" applyFill="1" applyBorder="1" applyAlignment="1" applyProtection="1">
      <alignment horizontal="center" vertical="center"/>
      <protection locked="0"/>
    </xf>
    <xf numFmtId="4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4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4" fontId="3" fillId="4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4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justify" vertical="center"/>
      <protection locked="0"/>
    </xf>
    <xf numFmtId="4" fontId="3" fillId="4" borderId="4" xfId="0" applyNumberFormat="1" applyFont="1" applyFill="1" applyBorder="1" applyAlignment="1" applyProtection="1">
      <alignment horizontal="justify" vertical="center"/>
      <protection locked="0"/>
    </xf>
    <xf numFmtId="0" fontId="3" fillId="0" borderId="4" xfId="0" applyFont="1" applyBorder="1" applyAlignment="1" applyProtection="1">
      <alignment horizontal="justify" vertical="center"/>
      <protection locked="0"/>
    </xf>
    <xf numFmtId="0" fontId="16" fillId="0" borderId="19" xfId="0" applyFont="1" applyBorder="1" applyAlignment="1" applyProtection="1">
      <alignment horizontal="justify" vertical="center"/>
      <protection locked="0"/>
    </xf>
    <xf numFmtId="0" fontId="16" fillId="0" borderId="0" xfId="0" applyFont="1" applyAlignment="1" applyProtection="1">
      <alignment horizontal="justify" vertical="center"/>
      <protection locked="0"/>
    </xf>
    <xf numFmtId="0" fontId="4" fillId="0" borderId="4" xfId="0" applyFont="1" applyBorder="1" applyAlignment="1" applyProtection="1">
      <alignment horizontal="justify" vertical="center"/>
      <protection locked="0"/>
    </xf>
    <xf numFmtId="4" fontId="3" fillId="4" borderId="16" xfId="0" applyNumberFormat="1" applyFont="1" applyFill="1" applyBorder="1" applyAlignment="1" applyProtection="1">
      <alignment horizontal="justify" vertical="center"/>
      <protection locked="0"/>
    </xf>
    <xf numFmtId="0" fontId="4" fillId="0" borderId="4" xfId="0" applyFont="1" applyBorder="1" applyAlignment="1" applyProtection="1">
      <alignment horizontal="justify" vertical="center" wrapText="1"/>
      <protection locked="0"/>
    </xf>
    <xf numFmtId="0" fontId="3" fillId="0" borderId="15" xfId="0" applyFont="1" applyBorder="1" applyAlignment="1" applyProtection="1">
      <alignment horizontal="justify" vertical="center"/>
      <protection locked="0"/>
    </xf>
    <xf numFmtId="4" fontId="3" fillId="4" borderId="5" xfId="0" applyNumberFormat="1" applyFont="1" applyFill="1" applyBorder="1" applyAlignment="1" applyProtection="1">
      <alignment horizontal="justify" vertical="center"/>
      <protection locked="0"/>
    </xf>
    <xf numFmtId="164" fontId="3" fillId="4" borderId="14" xfId="4" applyFont="1" applyFill="1" applyBorder="1" applyAlignment="1" applyProtection="1">
      <alignment horizontal="justify" vertical="center"/>
      <protection locked="0"/>
    </xf>
    <xf numFmtId="164" fontId="3" fillId="4" borderId="4" xfId="4" applyFont="1" applyFill="1" applyBorder="1" applyAlignment="1" applyProtection="1">
      <alignment horizontal="justify" vertical="center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4" fontId="3" fillId="4" borderId="23" xfId="0" applyNumberFormat="1" applyFont="1" applyFill="1" applyBorder="1" applyAlignment="1" applyProtection="1">
      <alignment horizontal="center" vertical="center"/>
      <protection locked="0"/>
    </xf>
    <xf numFmtId="4" fontId="13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4" fontId="18" fillId="4" borderId="4" xfId="0" applyNumberFormat="1" applyFont="1" applyFill="1" applyBorder="1" applyAlignment="1" applyProtection="1">
      <alignment horizontal="justify" vertical="center"/>
      <protection locked="0"/>
    </xf>
    <xf numFmtId="0" fontId="4" fillId="5" borderId="4" xfId="0" applyFont="1" applyFill="1" applyBorder="1" applyAlignment="1" applyProtection="1">
      <alignment vertical="center"/>
      <protection locked="0"/>
    </xf>
    <xf numFmtId="0" fontId="4" fillId="5" borderId="4" xfId="0" applyFont="1" applyFill="1" applyBorder="1" applyAlignment="1" applyProtection="1">
      <alignment horizontal="justify" vertical="center"/>
      <protection locked="0"/>
    </xf>
    <xf numFmtId="0" fontId="3" fillId="5" borderId="3" xfId="0" applyFont="1" applyFill="1" applyBorder="1" applyAlignment="1" applyProtection="1">
      <alignment vertical="center" wrapText="1"/>
      <protection locked="0"/>
    </xf>
    <xf numFmtId="9" fontId="15" fillId="5" borderId="3" xfId="0" applyNumberFormat="1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4" fontId="4" fillId="5" borderId="6" xfId="0" applyNumberFormat="1" applyFont="1" applyFill="1" applyBorder="1" applyAlignment="1" applyProtection="1">
      <alignment vertical="center"/>
      <protection locked="0"/>
    </xf>
    <xf numFmtId="164" fontId="3" fillId="5" borderId="5" xfId="0" applyNumberFormat="1" applyFont="1" applyFill="1" applyBorder="1" applyAlignment="1">
      <alignment vertical="center"/>
    </xf>
    <xf numFmtId="4" fontId="4" fillId="5" borderId="5" xfId="0" applyNumberFormat="1" applyFont="1" applyFill="1" applyBorder="1" applyAlignment="1" applyProtection="1">
      <alignment horizontal="right" vertical="center"/>
      <protection locked="0"/>
    </xf>
    <xf numFmtId="164" fontId="3" fillId="5" borderId="23" xfId="0" applyNumberFormat="1" applyFont="1" applyFill="1" applyBorder="1" applyAlignment="1">
      <alignment vertical="center"/>
    </xf>
    <xf numFmtId="10" fontId="15" fillId="5" borderId="3" xfId="0" applyNumberFormat="1" applyFont="1" applyFill="1" applyBorder="1" applyAlignment="1" applyProtection="1">
      <alignment vertical="center"/>
      <protection locked="0"/>
    </xf>
    <xf numFmtId="4" fontId="4" fillId="5" borderId="4" xfId="0" applyNumberFormat="1" applyFont="1" applyFill="1" applyBorder="1" applyAlignment="1" applyProtection="1">
      <alignment horizontal="right" vertical="center"/>
      <protection locked="0"/>
    </xf>
    <xf numFmtId="4" fontId="4" fillId="5" borderId="11" xfId="0" applyNumberFormat="1" applyFont="1" applyFill="1" applyBorder="1" applyAlignment="1" applyProtection="1">
      <alignment horizontal="right" vertical="center"/>
      <protection locked="0"/>
    </xf>
    <xf numFmtId="4" fontId="4" fillId="5" borderId="6" xfId="0" applyNumberFormat="1" applyFont="1" applyFill="1" applyBorder="1" applyAlignment="1" applyProtection="1">
      <alignment horizontal="right" vertical="center"/>
      <protection locked="0"/>
    </xf>
    <xf numFmtId="164" fontId="3" fillId="5" borderId="4" xfId="0" applyNumberFormat="1" applyFont="1" applyFill="1" applyBorder="1" applyAlignment="1">
      <alignment vertical="center"/>
    </xf>
    <xf numFmtId="164" fontId="4" fillId="5" borderId="6" xfId="4" applyFont="1" applyFill="1" applyBorder="1" applyAlignment="1" applyProtection="1">
      <alignment horizontal="right" vertical="center"/>
      <protection locked="0"/>
    </xf>
    <xf numFmtId="164" fontId="3" fillId="5" borderId="22" xfId="0" applyNumberFormat="1" applyFont="1" applyFill="1" applyBorder="1" applyAlignment="1">
      <alignment vertical="center"/>
    </xf>
    <xf numFmtId="164" fontId="4" fillId="5" borderId="4" xfId="0" applyNumberFormat="1" applyFont="1" applyFill="1" applyBorder="1" applyAlignment="1">
      <alignment vertical="center"/>
    </xf>
    <xf numFmtId="4" fontId="4" fillId="5" borderId="22" xfId="0" applyNumberFormat="1" applyFont="1" applyFill="1" applyBorder="1" applyAlignment="1" applyProtection="1">
      <alignment horizontal="right" vertical="center"/>
      <protection locked="0"/>
    </xf>
    <xf numFmtId="10" fontId="15" fillId="5" borderId="3" xfId="0" applyNumberFormat="1" applyFont="1" applyFill="1" applyBorder="1" applyAlignment="1">
      <alignment vertical="center"/>
    </xf>
    <xf numFmtId="4" fontId="4" fillId="5" borderId="14" xfId="0" applyNumberFormat="1" applyFont="1" applyFill="1" applyBorder="1" applyAlignment="1" applyProtection="1">
      <alignment horizontal="right" vertical="center"/>
      <protection locked="0"/>
    </xf>
    <xf numFmtId="164" fontId="4" fillId="5" borderId="5" xfId="4" applyFont="1" applyFill="1" applyBorder="1" applyAlignment="1" applyProtection="1">
      <alignment horizontal="justify" vertical="center"/>
      <protection locked="0"/>
    </xf>
    <xf numFmtId="4" fontId="3" fillId="5" borderId="3" xfId="0" applyNumberFormat="1" applyFont="1" applyFill="1" applyBorder="1" applyAlignment="1" applyProtection="1">
      <alignment vertical="center"/>
      <protection locked="0"/>
    </xf>
    <xf numFmtId="4" fontId="3" fillId="4" borderId="6" xfId="0" applyNumberFormat="1" applyFont="1" applyFill="1" applyBorder="1" applyAlignment="1" applyProtection="1">
      <alignment horizontal="center" vertical="center"/>
      <protection locked="0"/>
    </xf>
    <xf numFmtId="4" fontId="3" fillId="4" borderId="26" xfId="0" applyNumberFormat="1" applyFont="1" applyFill="1" applyBorder="1" applyAlignment="1" applyProtection="1">
      <alignment horizontal="center" vertical="center"/>
      <protection locked="0"/>
    </xf>
    <xf numFmtId="0" fontId="4" fillId="5" borderId="25" xfId="0" applyFont="1" applyFill="1" applyBorder="1" applyAlignment="1" applyProtection="1">
      <alignment vertical="center"/>
      <protection locked="0"/>
    </xf>
    <xf numFmtId="4" fontId="4" fillId="5" borderId="16" xfId="0" applyNumberFormat="1" applyFont="1" applyFill="1" applyBorder="1" applyAlignment="1" applyProtection="1">
      <alignment horizontal="right" vertical="center"/>
      <protection locked="0"/>
    </xf>
    <xf numFmtId="0" fontId="4" fillId="6" borderId="25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horizontal="justify" vertical="center"/>
      <protection locked="0"/>
    </xf>
    <xf numFmtId="164" fontId="4" fillId="5" borderId="5" xfId="4" applyFont="1" applyFill="1" applyBorder="1" applyAlignment="1" applyProtection="1">
      <alignment horizontal="right" vertical="center"/>
      <protection locked="0"/>
    </xf>
    <xf numFmtId="0" fontId="3" fillId="7" borderId="2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14" fillId="0" borderId="30" xfId="0" applyFont="1" applyBorder="1"/>
    <xf numFmtId="0" fontId="19" fillId="0" borderId="20" xfId="0" applyFont="1" applyBorder="1" applyAlignment="1">
      <alignment horizont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/>
    <xf numFmtId="0" fontId="19" fillId="0" borderId="33" xfId="0" applyFont="1" applyBorder="1" applyAlignment="1">
      <alignment horizontal="center"/>
    </xf>
    <xf numFmtId="0" fontId="5" fillId="7" borderId="29" xfId="0" applyFont="1" applyFill="1" applyBorder="1" applyAlignment="1">
      <alignment horizontal="center" vertical="center" wrapText="1"/>
    </xf>
    <xf numFmtId="0" fontId="20" fillId="8" borderId="30" xfId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14" fontId="7" fillId="8" borderId="7" xfId="0" applyNumberFormat="1" applyFont="1" applyFill="1" applyBorder="1" applyAlignment="1">
      <alignment horizontal="center" vertical="center" wrapText="1"/>
    </xf>
    <xf numFmtId="4" fontId="7" fillId="8" borderId="7" xfId="0" applyNumberFormat="1" applyFont="1" applyFill="1" applyBorder="1" applyAlignment="1">
      <alignment horizontal="right" vertical="center" wrapText="1"/>
    </xf>
    <xf numFmtId="2" fontId="7" fillId="8" borderId="7" xfId="0" applyNumberFormat="1" applyFont="1" applyFill="1" applyBorder="1" applyAlignment="1">
      <alignment horizontal="right" vertical="center" wrapText="1"/>
    </xf>
    <xf numFmtId="4" fontId="7" fillId="8" borderId="20" xfId="0" applyNumberFormat="1" applyFont="1" applyFill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4" fontId="7" fillId="0" borderId="20" xfId="0" applyNumberFormat="1" applyFont="1" applyBorder="1" applyAlignment="1">
      <alignment horizontal="right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164" fontId="3" fillId="7" borderId="20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 applyProtection="1">
      <alignment vertical="center"/>
      <protection locked="0"/>
    </xf>
    <xf numFmtId="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5" borderId="5" xfId="4" applyFont="1" applyFill="1" applyBorder="1" applyAlignment="1" applyProtection="1">
      <alignment horizontal="justify" vertical="center"/>
    </xf>
    <xf numFmtId="0" fontId="23" fillId="0" borderId="36" xfId="0" applyFont="1" applyBorder="1"/>
    <xf numFmtId="0" fontId="23" fillId="0" borderId="0" xfId="0" applyFont="1"/>
    <xf numFmtId="0" fontId="23" fillId="0" borderId="36" xfId="0" applyFont="1" applyBorder="1" applyAlignment="1">
      <alignment horizontal="center"/>
    </xf>
    <xf numFmtId="0" fontId="23" fillId="10" borderId="36" xfId="0" applyFont="1" applyFill="1" applyBorder="1" applyAlignment="1">
      <alignment horizontal="center"/>
    </xf>
    <xf numFmtId="0" fontId="23" fillId="0" borderId="39" xfId="0" applyFont="1" applyBorder="1"/>
    <xf numFmtId="0" fontId="25" fillId="0" borderId="36" xfId="0" applyFont="1" applyBorder="1" applyAlignment="1">
      <alignment horizontal="center"/>
    </xf>
    <xf numFmtId="0" fontId="23" fillId="0" borderId="40" xfId="0" applyFont="1" applyBorder="1"/>
    <xf numFmtId="166" fontId="23" fillId="0" borderId="36" xfId="0" applyNumberFormat="1" applyFont="1" applyBorder="1" applyAlignment="1">
      <alignment horizontal="right"/>
    </xf>
    <xf numFmtId="166" fontId="25" fillId="11" borderId="36" xfId="0" applyNumberFormat="1" applyFont="1" applyFill="1" applyBorder="1" applyAlignment="1">
      <alignment horizontal="right"/>
    </xf>
    <xf numFmtId="166" fontId="23" fillId="0" borderId="36" xfId="0" applyNumberFormat="1" applyFont="1" applyBorder="1"/>
    <xf numFmtId="0" fontId="25" fillId="11" borderId="36" xfId="0" applyFont="1" applyFill="1" applyBorder="1" applyAlignment="1">
      <alignment horizontal="right"/>
    </xf>
    <xf numFmtId="0" fontId="22" fillId="0" borderId="36" xfId="0" applyFont="1" applyBorder="1"/>
    <xf numFmtId="166" fontId="25" fillId="12" borderId="36" xfId="0" applyNumberFormat="1" applyFont="1" applyFill="1" applyBorder="1" applyAlignment="1">
      <alignment horizontal="right"/>
    </xf>
    <xf numFmtId="166" fontId="25" fillId="13" borderId="36" xfId="0" applyNumberFormat="1" applyFont="1" applyFill="1" applyBorder="1" applyAlignment="1">
      <alignment horizontal="right"/>
    </xf>
    <xf numFmtId="10" fontId="23" fillId="0" borderId="0" xfId="8" applyNumberFormat="1" applyFont="1"/>
    <xf numFmtId="4" fontId="27" fillId="0" borderId="44" xfId="0" applyNumberFormat="1" applyFont="1" applyBorder="1" applyAlignment="1" applyProtection="1">
      <alignment horizontal="right" vertical="center"/>
      <protection locked="0"/>
    </xf>
    <xf numFmtId="164" fontId="27" fillId="0" borderId="44" xfId="0" applyNumberFormat="1" applyFont="1" applyBorder="1" applyAlignment="1" applyProtection="1">
      <alignment horizontal="right" vertical="center"/>
      <protection locked="0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16" fillId="14" borderId="36" xfId="0" applyNumberFormat="1" applyFont="1" applyFill="1" applyBorder="1" applyAlignment="1">
      <alignment horizontal="center" vertical="center" wrapText="1"/>
    </xf>
    <xf numFmtId="44" fontId="16" fillId="0" borderId="36" xfId="7" applyFont="1" applyBorder="1" applyAlignment="1">
      <alignment horizontal="center" vertical="center" wrapText="1"/>
    </xf>
    <xf numFmtId="2" fontId="16" fillId="14" borderId="36" xfId="0" applyNumberFormat="1" applyFont="1" applyFill="1" applyBorder="1" applyAlignment="1">
      <alignment horizontal="center" vertical="center" wrapText="1"/>
    </xf>
    <xf numFmtId="4" fontId="16" fillId="14" borderId="36" xfId="0" applyNumberFormat="1" applyFont="1" applyFill="1" applyBorder="1" applyAlignment="1">
      <alignment horizontal="center" vertical="center" wrapText="1"/>
    </xf>
    <xf numFmtId="44" fontId="16" fillId="14" borderId="36" xfId="7" applyFont="1" applyFill="1" applyBorder="1" applyAlignment="1">
      <alignment horizontal="center" vertical="center" wrapText="1"/>
    </xf>
    <xf numFmtId="14" fontId="16" fillId="14" borderId="45" xfId="0" applyNumberFormat="1" applyFont="1" applyFill="1" applyBorder="1" applyAlignment="1">
      <alignment horizontal="center" vertical="center" wrapText="1"/>
    </xf>
    <xf numFmtId="44" fontId="16" fillId="0" borderId="45" xfId="7" applyFont="1" applyBorder="1" applyAlignment="1">
      <alignment horizontal="center" vertical="center" wrapText="1"/>
    </xf>
    <xf numFmtId="44" fontId="16" fillId="14" borderId="45" xfId="7" applyFont="1" applyFill="1" applyBorder="1" applyAlignment="1">
      <alignment horizontal="center" vertical="center" wrapText="1"/>
    </xf>
    <xf numFmtId="14" fontId="16" fillId="14" borderId="7" xfId="0" applyNumberFormat="1" applyFont="1" applyFill="1" applyBorder="1" applyAlignment="1">
      <alignment horizontal="center" vertical="center" wrapText="1"/>
    </xf>
    <xf numFmtId="44" fontId="16" fillId="0" borderId="7" xfId="7" applyFont="1" applyBorder="1" applyAlignment="1">
      <alignment horizontal="center" vertical="center" wrapText="1"/>
    </xf>
    <xf numFmtId="44" fontId="16" fillId="14" borderId="7" xfId="7" applyFont="1" applyFill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/>
    </xf>
    <xf numFmtId="44" fontId="16" fillId="0" borderId="7" xfId="7" applyFont="1" applyBorder="1" applyAlignment="1">
      <alignment horizontal="center" vertical="center"/>
    </xf>
    <xf numFmtId="44" fontId="15" fillId="0" borderId="46" xfId="0" applyNumberFormat="1" applyFont="1" applyBorder="1" applyAlignment="1">
      <alignment horizontal="center" vertical="center" wrapText="1"/>
    </xf>
    <xf numFmtId="164" fontId="16" fillId="0" borderId="47" xfId="0" applyNumberFormat="1" applyFont="1" applyBorder="1" applyAlignment="1" applyProtection="1">
      <alignment horizontal="left" vertical="center"/>
      <protection locked="0"/>
    </xf>
    <xf numFmtId="0" fontId="23" fillId="0" borderId="48" xfId="0" applyFont="1" applyBorder="1"/>
    <xf numFmtId="14" fontId="16" fillId="0" borderId="36" xfId="0" applyNumberFormat="1" applyFont="1" applyBorder="1" applyAlignment="1">
      <alignment horizontal="center" wrapText="1"/>
    </xf>
    <xf numFmtId="0" fontId="0" fillId="6" borderId="0" xfId="0" applyFill="1"/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24" xfId="0" applyFont="1" applyFill="1" applyBorder="1" applyAlignment="1" applyProtection="1">
      <alignment horizontal="left" vertical="center"/>
      <protection locked="0"/>
    </xf>
    <xf numFmtId="0" fontId="14" fillId="5" borderId="0" xfId="0" applyFont="1" applyFill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9" fillId="0" borderId="32" xfId="0" applyFont="1" applyBorder="1" applyAlignment="1">
      <alignment horizontal="center"/>
    </xf>
    <xf numFmtId="0" fontId="3" fillId="7" borderId="30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164" fontId="3" fillId="7" borderId="34" xfId="0" applyNumberFormat="1" applyFont="1" applyFill="1" applyBorder="1" applyAlignment="1">
      <alignment horizontal="center" vertical="center" wrapText="1"/>
    </xf>
    <xf numFmtId="164" fontId="3" fillId="7" borderId="26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26" fillId="0" borderId="41" xfId="0" applyFont="1" applyBorder="1"/>
    <xf numFmtId="0" fontId="24" fillId="0" borderId="41" xfId="0" applyFont="1" applyBorder="1"/>
    <xf numFmtId="0" fontId="24" fillId="0" borderId="42" xfId="0" applyFont="1" applyBorder="1"/>
    <xf numFmtId="0" fontId="25" fillId="13" borderId="37" xfId="0" applyFont="1" applyFill="1" applyBorder="1" applyAlignment="1">
      <alignment horizontal="center"/>
    </xf>
    <xf numFmtId="0" fontId="24" fillId="0" borderId="43" xfId="0" applyFont="1" applyBorder="1"/>
    <xf numFmtId="0" fontId="24" fillId="0" borderId="38" xfId="0" applyFont="1" applyBorder="1"/>
    <xf numFmtId="0" fontId="23" fillId="0" borderId="37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165" fontId="23" fillId="9" borderId="37" xfId="0" applyNumberFormat="1" applyFont="1" applyFill="1" applyBorder="1" applyAlignment="1">
      <alignment horizontal="center"/>
    </xf>
    <xf numFmtId="0" fontId="25" fillId="11" borderId="37" xfId="0" applyFont="1" applyFill="1" applyBorder="1" applyAlignment="1">
      <alignment horizontal="center"/>
    </xf>
    <xf numFmtId="0" fontId="25" fillId="12" borderId="37" xfId="0" applyFont="1" applyFill="1" applyBorder="1" applyAlignment="1">
      <alignment horizontal="center"/>
    </xf>
  </cellXfs>
  <cellStyles count="9">
    <cellStyle name="Hiperlink 2" xfId="1"/>
    <cellStyle name="Moeda" xfId="7" builtinId="4"/>
    <cellStyle name="Normal" xfId="0" builtinId="0"/>
    <cellStyle name="Normal 2" xfId="2"/>
    <cellStyle name="Normal 6" xfId="6"/>
    <cellStyle name="Porcentagem" xfId="8" builtinId="5"/>
    <cellStyle name="Porcentagem 2" xfId="3"/>
    <cellStyle name="Separador de milhares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tabSelected="1" topLeftCell="A19" zoomScale="115" zoomScaleNormal="115" zoomScalePageLayoutView="120" workbookViewId="0">
      <selection activeCell="A2" sqref="A2:D2"/>
    </sheetView>
  </sheetViews>
  <sheetFormatPr defaultColWidth="9.109375" defaultRowHeight="13.2"/>
  <cols>
    <col min="1" max="1" width="73.88671875" style="1" customWidth="1"/>
    <col min="2" max="2" width="15.6640625" style="1" customWidth="1"/>
    <col min="3" max="3" width="17.6640625" style="1" customWidth="1"/>
    <col min="4" max="4" width="9.88671875" style="1" customWidth="1"/>
    <col min="5" max="5" width="64.88671875" style="1" customWidth="1"/>
    <col min="6" max="16384" width="9.109375" style="1"/>
  </cols>
  <sheetData>
    <row r="1" spans="1:5">
      <c r="A1" s="151" t="s">
        <v>235</v>
      </c>
      <c r="B1" s="151"/>
      <c r="C1" s="151"/>
      <c r="D1" s="151"/>
    </row>
    <row r="2" spans="1:5">
      <c r="A2" s="152" t="s">
        <v>0</v>
      </c>
      <c r="B2" s="152"/>
      <c r="C2" s="152"/>
      <c r="D2" s="152"/>
    </row>
    <row r="3" spans="1:5">
      <c r="A3" s="152" t="s">
        <v>1</v>
      </c>
      <c r="B3" s="152"/>
      <c r="C3" s="152"/>
      <c r="D3" s="152"/>
    </row>
    <row r="4" spans="1:5" ht="13.8" thickBot="1">
      <c r="B4" s="2"/>
      <c r="C4" s="2"/>
      <c r="D4" s="2"/>
    </row>
    <row r="5" spans="1:5" s="7" customFormat="1" ht="15.75" customHeight="1" thickBot="1">
      <c r="A5" s="8" t="s">
        <v>2</v>
      </c>
      <c r="B5" s="9" t="s">
        <v>3</v>
      </c>
      <c r="C5" s="10" t="s">
        <v>4</v>
      </c>
      <c r="D5" s="11" t="s">
        <v>5</v>
      </c>
    </row>
    <row r="6" spans="1:5" s="7" customFormat="1" ht="27" customHeight="1" thickBot="1">
      <c r="A6" s="59" t="s">
        <v>134</v>
      </c>
      <c r="B6" s="12"/>
      <c r="C6" s="78">
        <v>5546054</v>
      </c>
      <c r="D6" s="60">
        <v>1</v>
      </c>
      <c r="E6" s="61"/>
    </row>
    <row r="7" spans="1:5" s="7" customFormat="1" ht="19.5" customHeight="1" thickBot="1">
      <c r="A7" s="13"/>
      <c r="B7" s="14"/>
      <c r="C7" s="15"/>
      <c r="D7" s="16"/>
    </row>
    <row r="8" spans="1:5" s="7" customFormat="1" ht="15.75" customHeight="1" thickBot="1">
      <c r="A8" s="146" t="s">
        <v>6</v>
      </c>
      <c r="B8" s="147"/>
      <c r="C8" s="63">
        <f>SUM(C9)+(C13)</f>
        <v>-175144.73999999941</v>
      </c>
      <c r="D8" s="17"/>
    </row>
    <row r="9" spans="1:5" s="7" customFormat="1" ht="13.8" thickBot="1">
      <c r="A9" s="18" t="s">
        <v>7</v>
      </c>
      <c r="B9" s="19"/>
      <c r="C9" s="63">
        <f>SUM(B11)-(B10)-(B12)</f>
        <v>-250114.6099999994</v>
      </c>
      <c r="D9" s="16"/>
    </row>
    <row r="10" spans="1:5" s="7" customFormat="1" ht="13.5" customHeight="1">
      <c r="A10" s="57" t="s">
        <v>8</v>
      </c>
      <c r="B10" s="62">
        <v>7051532</v>
      </c>
      <c r="C10" s="21"/>
      <c r="D10" s="16"/>
      <c r="E10" s="53"/>
    </row>
    <row r="11" spans="1:5" s="7" customFormat="1" ht="13.5" customHeight="1">
      <c r="A11" s="20" t="s">
        <v>9</v>
      </c>
      <c r="B11" s="62">
        <f>Cálculos!P8</f>
        <v>6801417.3900000006</v>
      </c>
      <c r="C11" s="19"/>
      <c r="D11" s="16"/>
    </row>
    <row r="12" spans="1:5" s="7" customFormat="1" ht="13.5" customHeight="1" thickBot="1">
      <c r="A12" s="20" t="s">
        <v>10</v>
      </c>
      <c r="B12" s="62">
        <v>0</v>
      </c>
      <c r="C12" s="52"/>
      <c r="D12" s="16"/>
    </row>
    <row r="13" spans="1:5" s="7" customFormat="1" ht="13.5" customHeight="1" thickBot="1">
      <c r="A13" s="23" t="s">
        <v>11</v>
      </c>
      <c r="B13" s="19"/>
      <c r="C13" s="63">
        <f>(B14)-(B15)</f>
        <v>74969.87</v>
      </c>
      <c r="D13" s="16"/>
    </row>
    <row r="14" spans="1:5" s="7" customFormat="1" ht="13.5" customHeight="1">
      <c r="A14" s="57" t="s">
        <v>12</v>
      </c>
      <c r="B14" s="62">
        <v>352576.6</v>
      </c>
      <c r="C14" s="19"/>
      <c r="D14" s="16"/>
    </row>
    <row r="15" spans="1:5" s="7" customFormat="1" ht="24.75" customHeight="1" thickBot="1">
      <c r="A15" s="51" t="s">
        <v>13</v>
      </c>
      <c r="B15" s="64">
        <f>Cálculos!P17</f>
        <v>277606.73</v>
      </c>
      <c r="C15" s="48"/>
      <c r="D15" s="16"/>
    </row>
    <row r="16" spans="1:5" s="7" customFormat="1" ht="18.75" customHeight="1" thickBot="1">
      <c r="A16" s="24"/>
      <c r="B16" s="25"/>
      <c r="C16" s="25"/>
      <c r="D16" s="16"/>
    </row>
    <row r="17" spans="1:4" s="7" customFormat="1" ht="15.75" customHeight="1" thickBot="1">
      <c r="A17" s="146" t="s">
        <v>14</v>
      </c>
      <c r="B17" s="148"/>
      <c r="C17" s="147"/>
      <c r="D17" s="26"/>
    </row>
    <row r="18" spans="1:4" s="7" customFormat="1" ht="13.5" customHeight="1" thickBot="1">
      <c r="A18" s="27" t="s">
        <v>15</v>
      </c>
      <c r="B18" s="28"/>
      <c r="C18" s="65">
        <f>C6*D18</f>
        <v>554605.4</v>
      </c>
      <c r="D18" s="66">
        <v>0.1</v>
      </c>
    </row>
    <row r="19" spans="1:4" s="7" customFormat="1" ht="13.5" customHeight="1">
      <c r="A19" s="20" t="s">
        <v>16</v>
      </c>
      <c r="B19" s="67">
        <f>C18*0.1</f>
        <v>55460.540000000008</v>
      </c>
      <c r="C19" s="29"/>
      <c r="D19" s="30"/>
    </row>
    <row r="20" spans="1:4" s="7" customFormat="1" ht="13.5" customHeight="1">
      <c r="A20" s="20" t="s">
        <v>17</v>
      </c>
      <c r="B20" s="67">
        <f>C18*0.45</f>
        <v>249572.43000000002</v>
      </c>
      <c r="C20" s="19"/>
      <c r="D20" s="16"/>
    </row>
    <row r="21" spans="1:4" s="7" customFormat="1" ht="13.5" customHeight="1">
      <c r="A21" s="20" t="s">
        <v>18</v>
      </c>
      <c r="B21" s="67">
        <f>C18*0.35</f>
        <v>194111.88999999998</v>
      </c>
      <c r="C21" s="19"/>
      <c r="D21" s="16"/>
    </row>
    <row r="22" spans="1:4" s="7" customFormat="1" ht="13.5" customHeight="1">
      <c r="A22" s="31" t="s">
        <v>19</v>
      </c>
      <c r="B22" s="68">
        <v>0</v>
      </c>
      <c r="C22" s="32"/>
      <c r="D22" s="17"/>
    </row>
    <row r="23" spans="1:4" s="7" customFormat="1" ht="13.5" customHeight="1" thickBot="1">
      <c r="A23" s="33" t="s">
        <v>20</v>
      </c>
      <c r="B23" s="64">
        <f>C18*0.1</f>
        <v>55460.540000000008</v>
      </c>
      <c r="C23" s="34"/>
      <c r="D23" s="17"/>
    </row>
    <row r="24" spans="1:4" s="7" customFormat="1" ht="21" customHeight="1" thickBot="1">
      <c r="A24" s="35"/>
      <c r="B24" s="36"/>
      <c r="C24" s="36"/>
      <c r="D24" s="16"/>
    </row>
    <row r="25" spans="1:4" s="7" customFormat="1" ht="15.75" customHeight="1" thickBot="1">
      <c r="A25" s="146" t="s">
        <v>21</v>
      </c>
      <c r="B25" s="147"/>
      <c r="C25" s="63">
        <f>(C26)+(C31)+(C36)+(C41)+(C46)</f>
        <v>3323144.0500000007</v>
      </c>
      <c r="D25" s="16"/>
    </row>
    <row r="26" spans="1:4" s="7" customFormat="1" ht="13.5" customHeight="1" thickBot="1">
      <c r="A26" s="18" t="s">
        <v>22</v>
      </c>
      <c r="B26" s="19"/>
      <c r="C26" s="63">
        <f>SUM(B30)+(B29)</f>
        <v>4636761.415</v>
      </c>
      <c r="D26" s="16"/>
    </row>
    <row r="27" spans="1:4" s="7" customFormat="1" ht="13.5" customHeight="1">
      <c r="A27" s="20" t="s">
        <v>23</v>
      </c>
      <c r="B27" s="69">
        <v>4000000</v>
      </c>
      <c r="C27" s="21"/>
      <c r="D27" s="16"/>
    </row>
    <row r="28" spans="1:4" s="7" customFormat="1" ht="13.5" customHeight="1">
      <c r="A28" s="20" t="s">
        <v>24</v>
      </c>
      <c r="B28" s="69">
        <f>Cálculos!P9</f>
        <v>4424507.6100000003</v>
      </c>
      <c r="C28" s="19"/>
      <c r="D28" s="16"/>
    </row>
    <row r="29" spans="1:4" s="7" customFormat="1" ht="13.5" customHeight="1">
      <c r="A29" s="20" t="s">
        <v>25</v>
      </c>
      <c r="B29" s="70">
        <f>(B28)-(B27)</f>
        <v>424507.61000000034</v>
      </c>
      <c r="C29" s="19"/>
      <c r="D29" s="16"/>
    </row>
    <row r="30" spans="1:4" s="7" customFormat="1" ht="13.5" customHeight="1" thickBot="1">
      <c r="A30" s="20" t="s">
        <v>26</v>
      </c>
      <c r="B30" s="69">
        <f>(B27+B28)/2</f>
        <v>4212253.8049999997</v>
      </c>
      <c r="C30" s="22"/>
      <c r="D30" s="16"/>
    </row>
    <row r="31" spans="1:4" s="7" customFormat="1" ht="13.5" customHeight="1" thickBot="1">
      <c r="A31" s="23" t="s">
        <v>27</v>
      </c>
      <c r="B31" s="19"/>
      <c r="C31" s="63">
        <f>SUM(B34)-(B35)</f>
        <v>-696766.57499999972</v>
      </c>
      <c r="D31" s="16"/>
    </row>
    <row r="32" spans="1:4" s="7" customFormat="1" ht="13.5" customHeight="1">
      <c r="A32" s="20" t="s">
        <v>28</v>
      </c>
      <c r="B32" s="124">
        <v>600000</v>
      </c>
      <c r="C32" s="21"/>
      <c r="D32" s="16"/>
    </row>
    <row r="33" spans="1:4" s="7" customFormat="1" ht="13.5" customHeight="1">
      <c r="A33" s="20" t="s">
        <v>29</v>
      </c>
      <c r="B33" s="71">
        <f>Cálculos!P16</f>
        <v>664511.04999999981</v>
      </c>
      <c r="C33" s="19"/>
      <c r="D33" s="16"/>
    </row>
    <row r="34" spans="1:4" s="7" customFormat="1" ht="13.5" customHeight="1">
      <c r="A34" s="20" t="s">
        <v>30</v>
      </c>
      <c r="B34" s="70">
        <f>(B32)-(B33)</f>
        <v>-64511.049999999814</v>
      </c>
      <c r="C34" s="19"/>
      <c r="D34" s="16"/>
    </row>
    <row r="35" spans="1:4" s="7" customFormat="1" ht="13.5" customHeight="1" thickBot="1">
      <c r="A35" s="20" t="s">
        <v>31</v>
      </c>
      <c r="B35" s="71">
        <f>(B32+B33)/2</f>
        <v>632255.52499999991</v>
      </c>
      <c r="C35" s="22"/>
      <c r="D35" s="16"/>
    </row>
    <row r="36" spans="1:4" s="7" customFormat="1" ht="13.5" customHeight="1" thickBot="1">
      <c r="A36" s="23" t="s">
        <v>32</v>
      </c>
      <c r="B36" s="19"/>
      <c r="C36" s="63">
        <f>SUM(B39)-(B40)</f>
        <v>-32070.110000000004</v>
      </c>
      <c r="D36" s="16"/>
    </row>
    <row r="37" spans="1:4" s="7" customFormat="1" ht="13.5" customHeight="1">
      <c r="A37" s="20" t="s">
        <v>33</v>
      </c>
      <c r="B37" s="125">
        <v>20000</v>
      </c>
      <c r="C37" s="21"/>
      <c r="D37" s="16"/>
    </row>
    <row r="38" spans="1:4" s="7" customFormat="1" ht="13.5" customHeight="1">
      <c r="A38" s="57" t="s">
        <v>34</v>
      </c>
      <c r="B38" s="71">
        <f>Cálculos!P19</f>
        <v>28046.74</v>
      </c>
      <c r="C38" s="19"/>
      <c r="D38" s="16"/>
    </row>
    <row r="39" spans="1:4" s="7" customFormat="1" ht="13.5" customHeight="1">
      <c r="A39" s="20" t="s">
        <v>35</v>
      </c>
      <c r="B39" s="70">
        <f>(B37)-(B38)</f>
        <v>-8046.7400000000016</v>
      </c>
      <c r="C39" s="19"/>
      <c r="D39" s="16"/>
    </row>
    <row r="40" spans="1:4" s="7" customFormat="1" ht="13.5" customHeight="1">
      <c r="A40" s="20" t="s">
        <v>36</v>
      </c>
      <c r="B40" s="71">
        <f>(B37+B38)/2</f>
        <v>24023.370000000003</v>
      </c>
      <c r="C40" s="37"/>
      <c r="D40" s="16"/>
    </row>
    <row r="41" spans="1:4" s="7" customFormat="1" ht="13.5" customHeight="1" thickBot="1">
      <c r="A41" s="23" t="s">
        <v>37</v>
      </c>
      <c r="B41" s="19"/>
      <c r="C41" s="63">
        <f>SUM(B44)-(B45)</f>
        <v>-584780.67999999993</v>
      </c>
      <c r="D41" s="16"/>
    </row>
    <row r="42" spans="1:4" s="7" customFormat="1" ht="13.5" customHeight="1">
      <c r="A42" s="20" t="s">
        <v>38</v>
      </c>
      <c r="B42" s="125">
        <v>250000</v>
      </c>
      <c r="C42" s="21"/>
      <c r="D42" s="16"/>
    </row>
    <row r="43" spans="1:4" s="7" customFormat="1" ht="13.5" customHeight="1">
      <c r="A43" s="57" t="s">
        <v>39</v>
      </c>
      <c r="B43" s="71">
        <f>Cálculos!P20+Cálculos!P21+Cálculos!P22</f>
        <v>473187.12</v>
      </c>
      <c r="C43" s="19"/>
      <c r="D43" s="16"/>
    </row>
    <row r="44" spans="1:4" s="7" customFormat="1" ht="13.5" customHeight="1">
      <c r="A44" s="20" t="s">
        <v>40</v>
      </c>
      <c r="B44" s="72">
        <f>(B42)-(B43)</f>
        <v>-223187.12</v>
      </c>
      <c r="C44" s="19"/>
      <c r="D44" s="16"/>
    </row>
    <row r="45" spans="1:4" s="7" customFormat="1" ht="13.5" customHeight="1" thickBot="1">
      <c r="A45" s="20" t="s">
        <v>41</v>
      </c>
      <c r="B45" s="71">
        <f>(B42+B43)/2</f>
        <v>361593.56</v>
      </c>
      <c r="C45" s="22"/>
      <c r="D45" s="16"/>
    </row>
    <row r="46" spans="1:4" s="7" customFormat="1" ht="13.5" customHeight="1" thickBot="1">
      <c r="A46" s="23" t="s">
        <v>42</v>
      </c>
      <c r="B46" s="19"/>
      <c r="C46" s="63">
        <f>SUM(B49)-(B50)</f>
        <v>0</v>
      </c>
      <c r="D46" s="16"/>
    </row>
    <row r="47" spans="1:4" s="7" customFormat="1" ht="13.5" customHeight="1">
      <c r="A47" s="20" t="s">
        <v>43</v>
      </c>
      <c r="B47" s="71">
        <v>0</v>
      </c>
      <c r="C47" s="21"/>
      <c r="D47" s="16"/>
    </row>
    <row r="48" spans="1:4" s="7" customFormat="1" ht="13.5" customHeight="1">
      <c r="A48" s="20" t="s">
        <v>44</v>
      </c>
      <c r="B48" s="71">
        <v>0</v>
      </c>
      <c r="C48" s="19"/>
      <c r="D48" s="16"/>
    </row>
    <row r="49" spans="1:5" s="7" customFormat="1" ht="13.5" customHeight="1">
      <c r="A49" s="20" t="s">
        <v>45</v>
      </c>
      <c r="B49" s="72">
        <f>(B47)-(B48)</f>
        <v>0</v>
      </c>
      <c r="C49" s="19"/>
      <c r="D49" s="16"/>
    </row>
    <row r="50" spans="1:5" s="7" customFormat="1" ht="13.5" customHeight="1" thickBot="1">
      <c r="A50" s="20" t="s">
        <v>46</v>
      </c>
      <c r="B50" s="85">
        <v>0</v>
      </c>
      <c r="C50" s="22"/>
      <c r="D50" s="16"/>
    </row>
    <row r="51" spans="1:5" s="7" customFormat="1" ht="7.5" customHeight="1" thickBot="1">
      <c r="A51" s="24"/>
      <c r="B51" s="38"/>
      <c r="C51" s="38"/>
      <c r="D51" s="16"/>
    </row>
    <row r="52" spans="1:5" s="7" customFormat="1" ht="15.75" customHeight="1" thickBot="1">
      <c r="A52" s="146" t="s">
        <v>47</v>
      </c>
      <c r="B52" s="147"/>
      <c r="C52" s="63">
        <f>SUM(B53)+(B54)+(B55)+(B56)-(B57)</f>
        <v>2989415.4400000013</v>
      </c>
      <c r="D52" s="55"/>
      <c r="E52" s="55"/>
    </row>
    <row r="53" spans="1:5" s="7" customFormat="1" ht="13.5" customHeight="1">
      <c r="A53" s="20" t="s">
        <v>48</v>
      </c>
      <c r="B53" s="73">
        <f>C8</f>
        <v>-175144.73999999941</v>
      </c>
      <c r="C53" s="19"/>
      <c r="D53" s="55"/>
      <c r="E53" s="55"/>
    </row>
    <row r="54" spans="1:5" s="7" customFormat="1" ht="13.5" customHeight="1">
      <c r="A54" s="20" t="s">
        <v>49</v>
      </c>
      <c r="B54" s="73">
        <f>C25</f>
        <v>3323144.0500000007</v>
      </c>
      <c r="C54" s="19"/>
      <c r="D54" s="55"/>
      <c r="E54" s="55"/>
    </row>
    <row r="55" spans="1:5" s="7" customFormat="1" ht="13.5" customHeight="1">
      <c r="A55" s="83" t="s">
        <v>50</v>
      </c>
      <c r="B55" s="82">
        <v>0</v>
      </c>
      <c r="C55" s="107"/>
      <c r="D55" s="55"/>
      <c r="E55" s="55"/>
    </row>
    <row r="56" spans="1:5" s="7" customFormat="1" ht="13.5" customHeight="1">
      <c r="A56" s="81" t="s">
        <v>51</v>
      </c>
      <c r="B56" s="67">
        <v>0</v>
      </c>
      <c r="C56" s="79"/>
      <c r="D56" s="55"/>
      <c r="E56" s="55"/>
    </row>
    <row r="57" spans="1:5" s="7" customFormat="1" ht="13.5" customHeight="1" thickBot="1">
      <c r="A57" s="106" t="s">
        <v>52</v>
      </c>
      <c r="B57" s="64">
        <f>Cálculos!P24+Cálculos!P25</f>
        <v>158583.87</v>
      </c>
      <c r="C57" s="80"/>
      <c r="D57" s="55"/>
      <c r="E57" s="55"/>
    </row>
    <row r="58" spans="1:5" s="7" customFormat="1" ht="18" customHeight="1" thickBot="1">
      <c r="A58" s="38"/>
      <c r="B58" s="38"/>
      <c r="C58" s="38"/>
      <c r="D58" s="16"/>
    </row>
    <row r="59" spans="1:5" s="7" customFormat="1" ht="15.75" customHeight="1" thickBot="1">
      <c r="A59" s="146" t="s">
        <v>53</v>
      </c>
      <c r="B59" s="148"/>
      <c r="C59" s="147"/>
      <c r="D59" s="26"/>
    </row>
    <row r="60" spans="1:5" s="6" customFormat="1" ht="13.5" customHeight="1" thickBot="1">
      <c r="A60" s="39" t="s">
        <v>54</v>
      </c>
      <c r="B60" s="40"/>
      <c r="C60" s="63">
        <f>(C6)-(C18)</f>
        <v>4991448.5999999996</v>
      </c>
      <c r="D60" s="75">
        <f>SUM(D6)-(D18)</f>
        <v>0.9</v>
      </c>
    </row>
    <row r="61" spans="1:5" s="6" customFormat="1" ht="13.5" customHeight="1">
      <c r="A61" s="41" t="s">
        <v>55</v>
      </c>
      <c r="B61" s="40"/>
      <c r="C61" s="76">
        <v>0</v>
      </c>
      <c r="D61" s="42"/>
    </row>
    <row r="62" spans="1:5" s="6" customFormat="1" ht="13.5" customHeight="1">
      <c r="A62" s="41" t="s">
        <v>56</v>
      </c>
      <c r="B62" s="40"/>
      <c r="C62" s="67">
        <v>0</v>
      </c>
      <c r="D62" s="43"/>
    </row>
    <row r="63" spans="1:5" s="6" customFormat="1" ht="13.5" customHeight="1">
      <c r="A63" s="84" t="s">
        <v>57</v>
      </c>
      <c r="B63" s="56"/>
      <c r="C63" s="74">
        <v>0</v>
      </c>
      <c r="D63" s="43"/>
    </row>
    <row r="64" spans="1:5" s="6" customFormat="1" ht="13.5" customHeight="1">
      <c r="A64" s="41" t="s">
        <v>58</v>
      </c>
      <c r="B64" s="40"/>
      <c r="C64" s="74">
        <f>B65</f>
        <v>0</v>
      </c>
      <c r="D64" s="43"/>
    </row>
    <row r="65" spans="1:4" s="6" customFormat="1" ht="13.5" customHeight="1">
      <c r="A65" s="44" t="s">
        <v>59</v>
      </c>
      <c r="B65" s="74">
        <v>0</v>
      </c>
      <c r="C65" s="40"/>
      <c r="D65" s="43"/>
    </row>
    <row r="66" spans="1:4" s="6" customFormat="1" ht="13.5" customHeight="1" thickBot="1">
      <c r="A66" s="41" t="s">
        <v>60</v>
      </c>
      <c r="B66" s="45"/>
      <c r="C66" s="63">
        <f>B67+B68+B69</f>
        <v>805914.3</v>
      </c>
      <c r="D66" s="43"/>
    </row>
    <row r="67" spans="1:4" s="6" customFormat="1" ht="13.5" customHeight="1">
      <c r="A67" s="44" t="s">
        <v>61</v>
      </c>
      <c r="B67" s="74">
        <v>0</v>
      </c>
      <c r="C67" s="49"/>
      <c r="D67" s="43"/>
    </row>
    <row r="68" spans="1:4" s="6" customFormat="1" ht="13.5" customHeight="1">
      <c r="A68" s="58" t="s">
        <v>62</v>
      </c>
      <c r="B68" s="74">
        <f>Cálculos!P7</f>
        <v>805914.3</v>
      </c>
      <c r="C68" s="50"/>
      <c r="D68" s="43"/>
    </row>
    <row r="69" spans="1:4" s="6" customFormat="1" ht="13.5" customHeight="1">
      <c r="A69" s="44" t="s">
        <v>63</v>
      </c>
      <c r="B69" s="74">
        <v>0</v>
      </c>
      <c r="C69" s="50"/>
      <c r="D69" s="43"/>
    </row>
    <row r="70" spans="1:4" s="6" customFormat="1" ht="13.5" customHeight="1" thickBot="1">
      <c r="A70" s="41" t="s">
        <v>64</v>
      </c>
      <c r="B70" s="45"/>
      <c r="C70" s="108">
        <f>(B71)+(B72)</f>
        <v>16531637.749999998</v>
      </c>
      <c r="D70" s="43"/>
    </row>
    <row r="71" spans="1:4" s="6" customFormat="1" ht="21.75" customHeight="1">
      <c r="A71" s="58" t="s">
        <v>65</v>
      </c>
      <c r="B71" s="142">
        <v>28688627.16</v>
      </c>
      <c r="C71" s="45"/>
      <c r="D71" s="43"/>
    </row>
    <row r="72" spans="1:4" s="6" customFormat="1" ht="35.25" customHeight="1" thickBot="1">
      <c r="A72" s="46" t="s">
        <v>66</v>
      </c>
      <c r="B72" s="77" cm="1">
        <f t="array" ref="B72:C72">'Memória de cálculo investimento'!J69:K69</f>
        <v>-12156989.410000002</v>
      </c>
      <c r="C72" s="48">
        <v>0</v>
      </c>
      <c r="D72" s="43"/>
    </row>
    <row r="73" spans="1:4" s="6" customFormat="1" ht="13.5" customHeight="1">
      <c r="A73" s="41" t="s">
        <v>67</v>
      </c>
      <c r="B73" s="40"/>
      <c r="C73" s="74">
        <v>0</v>
      </c>
      <c r="D73" s="43"/>
    </row>
    <row r="74" spans="1:4" s="6" customFormat="1" ht="15" customHeight="1" thickBot="1">
      <c r="A74" s="47" t="s">
        <v>68</v>
      </c>
      <c r="B74" s="48"/>
      <c r="C74" s="63">
        <f>C52</f>
        <v>2989415.4400000013</v>
      </c>
      <c r="D74" s="43"/>
    </row>
    <row r="75" spans="1:4" s="7" customFormat="1" ht="15.75" customHeight="1" thickBot="1">
      <c r="A75" s="149" t="s">
        <v>69</v>
      </c>
      <c r="B75" s="150"/>
      <c r="C75" s="63">
        <f>SUM(C60)-(C61)-(C62)-(C63)-(C64)+(C66)+(C70)+(C73)+(C74)</f>
        <v>25318416.09</v>
      </c>
      <c r="D75" s="16"/>
    </row>
    <row r="76" spans="1:4" ht="16.5" customHeight="1">
      <c r="A76" s="3"/>
      <c r="B76" s="4"/>
      <c r="C76" s="4"/>
    </row>
  </sheetData>
  <sheetProtection algorithmName="SHA-512" hashValue="YgtjxB2Noaa0Qw2/0+W8H1yuSq49yCypHvzsDfSFFBQb2doJ4nFwq4rb/urDJp/k5kYZhXAHlMZpMWlV10JWNQ==" saltValue="/Ic3tBgCPil+gbrI7P/jXw==" spinCount="100000" sheet="1" formatCells="0" formatColumns="0" formatRows="0" insertColumns="0" insertRows="0" insertHyperlinks="0" deleteColumns="0" deleteRows="0"/>
  <mergeCells count="9">
    <mergeCell ref="A52:B52"/>
    <mergeCell ref="A17:C17"/>
    <mergeCell ref="A75:B75"/>
    <mergeCell ref="A59:C59"/>
    <mergeCell ref="A1:D1"/>
    <mergeCell ref="A2:D2"/>
    <mergeCell ref="A3:D3"/>
    <mergeCell ref="A8:B8"/>
    <mergeCell ref="A25:B25"/>
  </mergeCells>
  <pageMargins left="0.78740157480314965" right="0.23622047244094491" top="0.19685039370078741" bottom="0.19685039370078741" header="0.31496062992125984" footer="0.31496062992125984"/>
  <pageSetup paperSize="9" scale="70" orientation="portrait" r:id="rId1"/>
  <ignoredErrors>
    <ignoredError sqref="C66 C64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69"/>
  <sheetViews>
    <sheetView topLeftCell="A49" workbookViewId="0">
      <selection activeCell="A3" sqref="A3:K3"/>
    </sheetView>
  </sheetViews>
  <sheetFormatPr defaultRowHeight="14.4"/>
  <cols>
    <col min="1" max="1" width="19.109375" customWidth="1"/>
    <col min="2" max="2" width="14.44140625" customWidth="1"/>
    <col min="3" max="3" width="15.33203125" customWidth="1"/>
    <col min="4" max="4" width="15" customWidth="1"/>
    <col min="5" max="5" width="17.33203125" customWidth="1"/>
    <col min="6" max="6" width="17" customWidth="1"/>
    <col min="7" max="7" width="15.109375" customWidth="1"/>
    <col min="8" max="8" width="16" customWidth="1"/>
    <col min="9" max="9" width="15.109375" customWidth="1"/>
    <col min="10" max="10" width="13.6640625" customWidth="1"/>
    <col min="11" max="11" width="17.109375" customWidth="1"/>
  </cols>
  <sheetData>
    <row r="2" spans="1:16">
      <c r="A2" s="161" t="s">
        <v>236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6">
      <c r="A3" s="162" t="s">
        <v>70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N3" s="145" t="s">
        <v>183</v>
      </c>
      <c r="O3" s="145" t="s">
        <v>184</v>
      </c>
      <c r="P3" s="145"/>
    </row>
    <row r="4" spans="1:16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</row>
    <row r="5" spans="1:16" ht="15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6">
      <c r="A6" s="163" t="s">
        <v>71</v>
      </c>
      <c r="B6" s="164"/>
      <c r="C6" s="164"/>
      <c r="D6" s="164"/>
      <c r="E6" s="164"/>
      <c r="F6" s="164"/>
      <c r="G6" s="164"/>
      <c r="H6" s="164"/>
      <c r="I6" s="164"/>
      <c r="J6" s="164"/>
      <c r="K6" s="165"/>
    </row>
    <row r="7" spans="1:16" ht="24">
      <c r="A7" s="88" t="s">
        <v>72</v>
      </c>
      <c r="B7" s="155" t="s">
        <v>73</v>
      </c>
      <c r="C7" s="155"/>
      <c r="D7" s="155"/>
      <c r="E7" s="155"/>
      <c r="F7" s="155" t="s">
        <v>74</v>
      </c>
      <c r="G7" s="155"/>
      <c r="H7" s="155" t="s">
        <v>75</v>
      </c>
      <c r="I7" s="155"/>
      <c r="J7" s="155"/>
      <c r="K7" s="89" t="s">
        <v>74</v>
      </c>
    </row>
    <row r="8" spans="1:16">
      <c r="A8" s="90" t="s">
        <v>76</v>
      </c>
      <c r="B8" s="160" t="s">
        <v>77</v>
      </c>
      <c r="C8" s="160"/>
      <c r="D8" s="160"/>
      <c r="E8" s="160"/>
      <c r="F8" s="160" t="s">
        <v>77</v>
      </c>
      <c r="G8" s="160"/>
      <c r="H8" s="160" t="s">
        <v>78</v>
      </c>
      <c r="I8" s="160"/>
      <c r="J8" s="160"/>
      <c r="K8" s="91" t="s">
        <v>79</v>
      </c>
    </row>
    <row r="9" spans="1:16">
      <c r="A9" s="90" t="s">
        <v>80</v>
      </c>
      <c r="B9" s="160" t="s">
        <v>81</v>
      </c>
      <c r="C9" s="160"/>
      <c r="D9" s="160"/>
      <c r="E9" s="160"/>
      <c r="F9" s="160" t="s">
        <v>82</v>
      </c>
      <c r="G9" s="160"/>
      <c r="H9" s="160" t="s">
        <v>83</v>
      </c>
      <c r="I9" s="160"/>
      <c r="J9" s="160"/>
      <c r="K9" s="91" t="s">
        <v>79</v>
      </c>
    </row>
    <row r="10" spans="1:16">
      <c r="A10" s="90" t="s">
        <v>84</v>
      </c>
      <c r="B10" s="160" t="s">
        <v>77</v>
      </c>
      <c r="C10" s="160"/>
      <c r="D10" s="160"/>
      <c r="E10" s="160"/>
      <c r="F10" s="160" t="s">
        <v>77</v>
      </c>
      <c r="G10" s="160"/>
      <c r="H10" s="160" t="s">
        <v>83</v>
      </c>
      <c r="I10" s="160"/>
      <c r="J10" s="160"/>
      <c r="K10" s="91" t="s">
        <v>79</v>
      </c>
    </row>
    <row r="11" spans="1:16">
      <c r="A11" s="92" t="s">
        <v>85</v>
      </c>
      <c r="B11" s="160" t="s">
        <v>86</v>
      </c>
      <c r="C11" s="160"/>
      <c r="D11" s="160"/>
      <c r="E11" s="160"/>
      <c r="F11" s="160" t="s">
        <v>82</v>
      </c>
      <c r="G11" s="160"/>
      <c r="H11" s="160" t="s">
        <v>86</v>
      </c>
      <c r="I11" s="160"/>
      <c r="J11" s="160"/>
      <c r="K11" s="91" t="s">
        <v>82</v>
      </c>
    </row>
    <row r="12" spans="1:16" ht="15" thickBot="1">
      <c r="A12" s="93" t="s">
        <v>87</v>
      </c>
      <c r="B12" s="153" t="s">
        <v>88</v>
      </c>
      <c r="C12" s="153"/>
      <c r="D12" s="153"/>
      <c r="E12" s="153"/>
      <c r="F12" s="153" t="s">
        <v>82</v>
      </c>
      <c r="G12" s="153"/>
      <c r="H12" s="153" t="s">
        <v>77</v>
      </c>
      <c r="I12" s="153"/>
      <c r="J12" s="153"/>
      <c r="K12" s="94" t="s">
        <v>77</v>
      </c>
    </row>
    <row r="13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1:16" ht="15" thickBot="1"/>
    <row r="16" spans="1:16" ht="36">
      <c r="A16" s="86" t="s">
        <v>89</v>
      </c>
      <c r="B16" s="87" t="s">
        <v>90</v>
      </c>
      <c r="C16" s="87" t="s">
        <v>91</v>
      </c>
      <c r="D16" s="87" t="s">
        <v>92</v>
      </c>
      <c r="E16" s="87" t="s">
        <v>93</v>
      </c>
      <c r="F16" s="87" t="s">
        <v>94</v>
      </c>
      <c r="G16" s="87" t="s">
        <v>95</v>
      </c>
      <c r="H16" s="87" t="s">
        <v>96</v>
      </c>
      <c r="I16" s="87" t="s">
        <v>97</v>
      </c>
      <c r="J16" s="87" t="s">
        <v>98</v>
      </c>
      <c r="K16" s="95" t="s">
        <v>99</v>
      </c>
    </row>
    <row r="17" spans="1:11">
      <c r="A17" s="126" t="s">
        <v>135</v>
      </c>
      <c r="B17" s="127" t="s">
        <v>136</v>
      </c>
      <c r="C17" s="54" t="s">
        <v>80</v>
      </c>
      <c r="D17" s="144">
        <v>45986</v>
      </c>
      <c r="E17" s="128"/>
      <c r="F17" s="129"/>
      <c r="G17" s="129">
        <v>635555.74</v>
      </c>
      <c r="H17" s="130"/>
      <c r="I17" s="131"/>
      <c r="J17" s="132"/>
      <c r="K17" s="141">
        <f>G17</f>
        <v>635555.74</v>
      </c>
    </row>
    <row r="18" spans="1:11">
      <c r="A18" s="126" t="s">
        <v>137</v>
      </c>
      <c r="B18" s="127" t="s">
        <v>138</v>
      </c>
      <c r="C18" s="54" t="s">
        <v>80</v>
      </c>
      <c r="D18" s="144">
        <v>45933</v>
      </c>
      <c r="E18" s="128"/>
      <c r="F18" s="129"/>
      <c r="G18" s="129">
        <v>250000</v>
      </c>
      <c r="H18" s="130"/>
      <c r="I18" s="131"/>
      <c r="J18" s="132"/>
      <c r="K18" s="141">
        <f t="shared" ref="K18:K47" si="0">G18</f>
        <v>250000</v>
      </c>
    </row>
    <row r="19" spans="1:11">
      <c r="A19" s="126" t="s">
        <v>139</v>
      </c>
      <c r="B19" s="127" t="s">
        <v>140</v>
      </c>
      <c r="C19" s="54" t="s">
        <v>80</v>
      </c>
      <c r="D19" s="144">
        <v>46003</v>
      </c>
      <c r="E19" s="128"/>
      <c r="F19" s="129"/>
      <c r="G19" s="129">
        <v>786832.2</v>
      </c>
      <c r="H19" s="130"/>
      <c r="I19" s="130"/>
      <c r="J19" s="132"/>
      <c r="K19" s="141">
        <f t="shared" si="0"/>
        <v>786832.2</v>
      </c>
    </row>
    <row r="20" spans="1:11">
      <c r="A20" s="126" t="s">
        <v>141</v>
      </c>
      <c r="B20" s="127" t="s">
        <v>142</v>
      </c>
      <c r="C20" s="54" t="s">
        <v>80</v>
      </c>
      <c r="D20" s="144">
        <v>46000</v>
      </c>
      <c r="E20" s="128"/>
      <c r="F20" s="129"/>
      <c r="G20" s="129">
        <v>794907.99</v>
      </c>
      <c r="H20" s="132"/>
      <c r="I20" s="132"/>
      <c r="J20" s="132"/>
      <c r="K20" s="141">
        <f t="shared" si="0"/>
        <v>794907.99</v>
      </c>
    </row>
    <row r="21" spans="1:11">
      <c r="A21" s="126" t="s">
        <v>143</v>
      </c>
      <c r="B21" s="127" t="s">
        <v>144</v>
      </c>
      <c r="C21" s="54" t="s">
        <v>80</v>
      </c>
      <c r="D21" s="144">
        <v>46003</v>
      </c>
      <c r="E21" s="128"/>
      <c r="F21" s="129"/>
      <c r="G21" s="129">
        <v>341048.72</v>
      </c>
      <c r="H21" s="132"/>
      <c r="I21" s="132"/>
      <c r="J21" s="132"/>
      <c r="K21" s="141">
        <f t="shared" si="0"/>
        <v>341048.72</v>
      </c>
    </row>
    <row r="22" spans="1:11">
      <c r="A22" s="126" t="s">
        <v>145</v>
      </c>
      <c r="B22" s="127" t="s">
        <v>146</v>
      </c>
      <c r="C22" s="54" t="s">
        <v>80</v>
      </c>
      <c r="D22" s="144">
        <v>45940</v>
      </c>
      <c r="E22" s="128"/>
      <c r="F22" s="129"/>
      <c r="G22" s="129">
        <v>218758</v>
      </c>
      <c r="H22" s="132"/>
      <c r="I22" s="132"/>
      <c r="J22" s="132"/>
      <c r="K22" s="141">
        <f t="shared" si="0"/>
        <v>218758</v>
      </c>
    </row>
    <row r="23" spans="1:11">
      <c r="A23" s="126" t="s">
        <v>147</v>
      </c>
      <c r="B23" s="127" t="s">
        <v>148</v>
      </c>
      <c r="C23" s="54" t="s">
        <v>80</v>
      </c>
      <c r="D23" s="144">
        <v>45995</v>
      </c>
      <c r="E23" s="133"/>
      <c r="F23" s="134"/>
      <c r="G23" s="129">
        <v>330020.84000000003</v>
      </c>
      <c r="H23" s="135"/>
      <c r="I23" s="135"/>
      <c r="J23" s="132"/>
      <c r="K23" s="141">
        <f t="shared" si="0"/>
        <v>330020.84000000003</v>
      </c>
    </row>
    <row r="24" spans="1:11">
      <c r="A24" s="126" t="s">
        <v>149</v>
      </c>
      <c r="B24" s="127" t="s">
        <v>150</v>
      </c>
      <c r="C24" s="54" t="s">
        <v>80</v>
      </c>
      <c r="D24" s="144">
        <v>45995</v>
      </c>
      <c r="E24" s="136"/>
      <c r="F24" s="137"/>
      <c r="G24" s="129">
        <v>385808.99</v>
      </c>
      <c r="H24" s="138"/>
      <c r="I24" s="138"/>
      <c r="J24" s="132"/>
      <c r="K24" s="141">
        <f t="shared" si="0"/>
        <v>385808.99</v>
      </c>
    </row>
    <row r="25" spans="1:11">
      <c r="A25" s="126" t="s">
        <v>151</v>
      </c>
      <c r="B25" s="127" t="s">
        <v>152</v>
      </c>
      <c r="C25" s="54" t="s">
        <v>80</v>
      </c>
      <c r="D25" s="144">
        <v>45915</v>
      </c>
      <c r="E25" s="136"/>
      <c r="F25" s="137"/>
      <c r="G25" s="129">
        <v>249901.4</v>
      </c>
      <c r="H25" s="138"/>
      <c r="I25" s="138"/>
      <c r="J25" s="132"/>
      <c r="K25" s="141">
        <f t="shared" si="0"/>
        <v>249901.4</v>
      </c>
    </row>
    <row r="26" spans="1:11">
      <c r="A26" s="126" t="s">
        <v>153</v>
      </c>
      <c r="B26" s="127" t="s">
        <v>154</v>
      </c>
      <c r="C26" s="54" t="s">
        <v>80</v>
      </c>
      <c r="D26" s="144">
        <v>46003</v>
      </c>
      <c r="E26" s="139"/>
      <c r="F26" s="140"/>
      <c r="G26" s="129">
        <v>409901.71</v>
      </c>
      <c r="H26" s="140"/>
      <c r="I26" s="140"/>
      <c r="J26" s="132"/>
      <c r="K26" s="141">
        <f t="shared" si="0"/>
        <v>409901.71</v>
      </c>
    </row>
    <row r="27" spans="1:11">
      <c r="A27" s="126" t="s">
        <v>155</v>
      </c>
      <c r="B27" s="127" t="s">
        <v>156</v>
      </c>
      <c r="C27" s="54" t="s">
        <v>80</v>
      </c>
      <c r="D27" s="144">
        <v>46000</v>
      </c>
      <c r="E27" s="139"/>
      <c r="F27" s="140"/>
      <c r="G27" s="129">
        <v>264575.07</v>
      </c>
      <c r="H27" s="140"/>
      <c r="I27" s="140"/>
      <c r="J27" s="132"/>
      <c r="K27" s="141">
        <f t="shared" si="0"/>
        <v>264575.07</v>
      </c>
    </row>
    <row r="28" spans="1:11">
      <c r="A28" s="126" t="s">
        <v>157</v>
      </c>
      <c r="B28" s="127" t="s">
        <v>158</v>
      </c>
      <c r="C28" s="54" t="s">
        <v>80</v>
      </c>
      <c r="D28" s="144">
        <v>46002</v>
      </c>
      <c r="E28" s="97"/>
      <c r="F28" s="99"/>
      <c r="G28" s="129">
        <v>150838.91</v>
      </c>
      <c r="H28" s="100"/>
      <c r="I28" s="99"/>
      <c r="J28" s="102"/>
      <c r="K28" s="141">
        <f t="shared" si="0"/>
        <v>150838.91</v>
      </c>
    </row>
    <row r="29" spans="1:11">
      <c r="A29" s="126" t="s">
        <v>159</v>
      </c>
      <c r="B29" s="127" t="s">
        <v>160</v>
      </c>
      <c r="C29" s="54" t="s">
        <v>80</v>
      </c>
      <c r="D29" s="144">
        <v>46006</v>
      </c>
      <c r="E29" s="97"/>
      <c r="F29" s="99"/>
      <c r="G29" s="129">
        <v>247324.68</v>
      </c>
      <c r="H29" s="100"/>
      <c r="I29" s="99"/>
      <c r="J29" s="102"/>
      <c r="K29" s="141">
        <f t="shared" si="0"/>
        <v>247324.68</v>
      </c>
    </row>
    <row r="30" spans="1:11">
      <c r="A30" s="126" t="s">
        <v>161</v>
      </c>
      <c r="B30" s="127" t="s">
        <v>162</v>
      </c>
      <c r="C30" s="54" t="s">
        <v>80</v>
      </c>
      <c r="D30" s="144">
        <v>46003</v>
      </c>
      <c r="E30" s="97"/>
      <c r="F30" s="99"/>
      <c r="G30" s="129">
        <v>800000</v>
      </c>
      <c r="H30" s="100"/>
      <c r="I30" s="99"/>
      <c r="J30" s="102"/>
      <c r="K30" s="141">
        <f t="shared" si="0"/>
        <v>800000</v>
      </c>
    </row>
    <row r="31" spans="1:11">
      <c r="A31" s="126" t="s">
        <v>163</v>
      </c>
      <c r="B31" s="127" t="s">
        <v>164</v>
      </c>
      <c r="C31" s="54" t="s">
        <v>80</v>
      </c>
      <c r="D31" s="144">
        <v>45995</v>
      </c>
      <c r="E31" s="97"/>
      <c r="F31" s="99"/>
      <c r="G31" s="129">
        <v>451197.57</v>
      </c>
      <c r="H31" s="100"/>
      <c r="I31" s="99"/>
      <c r="J31" s="102"/>
      <c r="K31" s="141">
        <f t="shared" si="0"/>
        <v>451197.57</v>
      </c>
    </row>
    <row r="32" spans="1:11">
      <c r="A32" s="126" t="s">
        <v>165</v>
      </c>
      <c r="B32" s="127" t="s">
        <v>166</v>
      </c>
      <c r="C32" s="54" t="s">
        <v>80</v>
      </c>
      <c r="D32" s="144">
        <v>46002</v>
      </c>
      <c r="E32" s="97"/>
      <c r="F32" s="99"/>
      <c r="G32" s="129">
        <v>192623.46</v>
      </c>
      <c r="H32" s="100"/>
      <c r="I32" s="99"/>
      <c r="J32" s="102"/>
      <c r="K32" s="141">
        <f t="shared" si="0"/>
        <v>192623.46</v>
      </c>
    </row>
    <row r="33" spans="1:11">
      <c r="A33" s="126" t="s">
        <v>167</v>
      </c>
      <c r="B33" s="127" t="s">
        <v>168</v>
      </c>
      <c r="C33" s="54" t="s">
        <v>80</v>
      </c>
      <c r="D33" s="144">
        <v>45995</v>
      </c>
      <c r="E33" s="97"/>
      <c r="F33" s="99"/>
      <c r="G33" s="129">
        <v>573059.83999999997</v>
      </c>
      <c r="H33" s="100"/>
      <c r="I33" s="99"/>
      <c r="J33" s="102"/>
      <c r="K33" s="141">
        <f t="shared" si="0"/>
        <v>573059.83999999997</v>
      </c>
    </row>
    <row r="34" spans="1:11">
      <c r="A34" s="126" t="s">
        <v>169</v>
      </c>
      <c r="B34" s="127" t="s">
        <v>170</v>
      </c>
      <c r="C34" s="54" t="s">
        <v>80</v>
      </c>
      <c r="D34" s="144">
        <v>45995</v>
      </c>
      <c r="E34" s="97"/>
      <c r="F34" s="99"/>
      <c r="G34" s="129">
        <v>271103.94</v>
      </c>
      <c r="H34" s="100"/>
      <c r="I34" s="99"/>
      <c r="J34" s="102"/>
      <c r="K34" s="141">
        <f t="shared" si="0"/>
        <v>271103.94</v>
      </c>
    </row>
    <row r="35" spans="1:11">
      <c r="A35" s="126" t="s">
        <v>171</v>
      </c>
      <c r="B35" s="127" t="s">
        <v>172</v>
      </c>
      <c r="C35" s="54" t="s">
        <v>80</v>
      </c>
      <c r="D35" s="144">
        <v>45989</v>
      </c>
      <c r="E35" s="97"/>
      <c r="F35" s="99"/>
      <c r="G35" s="129">
        <v>379192.28</v>
      </c>
      <c r="H35" s="100"/>
      <c r="I35" s="99"/>
      <c r="J35" s="102"/>
      <c r="K35" s="141">
        <f t="shared" si="0"/>
        <v>379192.28</v>
      </c>
    </row>
    <row r="36" spans="1:11">
      <c r="A36" s="126" t="s">
        <v>173</v>
      </c>
      <c r="B36" s="127" t="s">
        <v>174</v>
      </c>
      <c r="C36" s="54" t="s">
        <v>80</v>
      </c>
      <c r="D36" s="144">
        <v>45995</v>
      </c>
      <c r="E36" s="97"/>
      <c r="F36" s="99"/>
      <c r="G36" s="129">
        <v>408558.84</v>
      </c>
      <c r="H36" s="100"/>
      <c r="I36" s="99"/>
      <c r="J36" s="102"/>
      <c r="K36" s="141">
        <f t="shared" si="0"/>
        <v>408558.84</v>
      </c>
    </row>
    <row r="37" spans="1:11">
      <c r="A37" s="126" t="s">
        <v>175</v>
      </c>
      <c r="B37" s="127" t="s">
        <v>176</v>
      </c>
      <c r="C37" s="54" t="s">
        <v>80</v>
      </c>
      <c r="D37" s="144">
        <v>46000</v>
      </c>
      <c r="E37" s="97"/>
      <c r="F37" s="99"/>
      <c r="G37" s="129">
        <v>747477.25</v>
      </c>
      <c r="H37" s="100"/>
      <c r="I37" s="99"/>
      <c r="J37" s="102"/>
      <c r="K37" s="141">
        <f t="shared" si="0"/>
        <v>747477.25</v>
      </c>
    </row>
    <row r="38" spans="1:11">
      <c r="A38" s="126" t="s">
        <v>177</v>
      </c>
      <c r="B38" s="127" t="s">
        <v>178</v>
      </c>
      <c r="C38" s="54" t="s">
        <v>80</v>
      </c>
      <c r="D38" s="144">
        <v>46006</v>
      </c>
      <c r="E38" s="97"/>
      <c r="F38" s="99"/>
      <c r="G38" s="129">
        <v>183262.13</v>
      </c>
      <c r="H38" s="100"/>
      <c r="I38" s="99"/>
      <c r="J38" s="102"/>
      <c r="K38" s="141">
        <f t="shared" si="0"/>
        <v>183262.13</v>
      </c>
    </row>
    <row r="39" spans="1:11">
      <c r="A39" s="126" t="s">
        <v>179</v>
      </c>
      <c r="B39" s="127" t="s">
        <v>180</v>
      </c>
      <c r="C39" s="54" t="s">
        <v>80</v>
      </c>
      <c r="D39" s="144">
        <v>46003</v>
      </c>
      <c r="E39" s="97"/>
      <c r="F39" s="99"/>
      <c r="G39" s="129">
        <v>737745.28</v>
      </c>
      <c r="H39" s="100"/>
      <c r="I39" s="99"/>
      <c r="J39" s="102"/>
      <c r="K39" s="141">
        <f t="shared" si="0"/>
        <v>737745.28</v>
      </c>
    </row>
    <row r="40" spans="1:11">
      <c r="A40" s="126" t="s">
        <v>181</v>
      </c>
      <c r="B40" s="127" t="s">
        <v>182</v>
      </c>
      <c r="C40" s="54" t="s">
        <v>80</v>
      </c>
      <c r="D40" s="144">
        <v>46003</v>
      </c>
      <c r="E40" s="97"/>
      <c r="F40" s="99"/>
      <c r="G40" s="129">
        <v>800000</v>
      </c>
      <c r="H40" s="100"/>
      <c r="I40" s="99"/>
      <c r="J40" s="102"/>
      <c r="K40" s="141">
        <f t="shared" si="0"/>
        <v>800000</v>
      </c>
    </row>
    <row r="41" spans="1:11">
      <c r="A41" s="126" t="s">
        <v>185</v>
      </c>
      <c r="B41" s="127" t="s">
        <v>186</v>
      </c>
      <c r="C41" s="97" t="s">
        <v>199</v>
      </c>
      <c r="D41" s="144">
        <v>45954</v>
      </c>
      <c r="E41" s="97"/>
      <c r="F41" s="99"/>
      <c r="G41" s="129">
        <v>173585.56</v>
      </c>
      <c r="H41" s="100"/>
      <c r="I41" s="99"/>
      <c r="J41" s="102"/>
      <c r="K41" s="141">
        <f t="shared" si="0"/>
        <v>173585.56</v>
      </c>
    </row>
    <row r="42" spans="1:11">
      <c r="A42" s="126" t="s">
        <v>187</v>
      </c>
      <c r="B42" s="127" t="s">
        <v>188</v>
      </c>
      <c r="C42" s="97" t="s">
        <v>199</v>
      </c>
      <c r="D42" s="144">
        <v>45940</v>
      </c>
      <c r="E42" s="97"/>
      <c r="F42" s="99"/>
      <c r="G42" s="129">
        <v>207010.98</v>
      </c>
      <c r="H42" s="100"/>
      <c r="I42" s="99"/>
      <c r="J42" s="102"/>
      <c r="K42" s="141">
        <f t="shared" si="0"/>
        <v>207010.98</v>
      </c>
    </row>
    <row r="43" spans="1:11">
      <c r="A43" s="126" t="s">
        <v>189</v>
      </c>
      <c r="B43" s="127" t="s">
        <v>190</v>
      </c>
      <c r="C43" s="97" t="s">
        <v>199</v>
      </c>
      <c r="D43" s="144">
        <v>45989</v>
      </c>
      <c r="E43" s="97"/>
      <c r="F43" s="99"/>
      <c r="G43" s="129">
        <v>198577.48</v>
      </c>
      <c r="H43" s="100"/>
      <c r="I43" s="99"/>
      <c r="J43" s="102"/>
      <c r="K43" s="141">
        <f t="shared" si="0"/>
        <v>198577.48</v>
      </c>
    </row>
    <row r="44" spans="1:11">
      <c r="A44" s="126" t="s">
        <v>191</v>
      </c>
      <c r="B44" s="127" t="s">
        <v>192</v>
      </c>
      <c r="C44" s="97" t="s">
        <v>199</v>
      </c>
      <c r="D44" s="144">
        <v>45989</v>
      </c>
      <c r="E44" s="97"/>
      <c r="F44" s="99"/>
      <c r="G44" s="129">
        <v>197758.56</v>
      </c>
      <c r="H44" s="100"/>
      <c r="I44" s="99"/>
      <c r="J44" s="102"/>
      <c r="K44" s="141">
        <f t="shared" si="0"/>
        <v>197758.56</v>
      </c>
    </row>
    <row r="45" spans="1:11">
      <c r="A45" s="126" t="s">
        <v>193</v>
      </c>
      <c r="B45" s="127" t="s">
        <v>194</v>
      </c>
      <c r="C45" s="97" t="s">
        <v>199</v>
      </c>
      <c r="D45" s="144">
        <v>46000</v>
      </c>
      <c r="E45" s="97"/>
      <c r="F45" s="99"/>
      <c r="G45" s="129">
        <v>797700.81</v>
      </c>
      <c r="H45" s="100"/>
      <c r="I45" s="99"/>
      <c r="J45" s="102"/>
      <c r="K45" s="141">
        <f t="shared" si="0"/>
        <v>797700.81</v>
      </c>
    </row>
    <row r="46" spans="1:11">
      <c r="A46" s="126" t="s">
        <v>195</v>
      </c>
      <c r="B46" s="127" t="s">
        <v>196</v>
      </c>
      <c r="C46" s="97" t="s">
        <v>199</v>
      </c>
      <c r="D46" s="144">
        <v>45989</v>
      </c>
      <c r="E46" s="97"/>
      <c r="F46" s="99"/>
      <c r="G46" s="129">
        <v>178407.34</v>
      </c>
      <c r="H46" s="100"/>
      <c r="I46" s="99"/>
      <c r="J46" s="102"/>
      <c r="K46" s="141">
        <f t="shared" si="0"/>
        <v>178407.34</v>
      </c>
    </row>
    <row r="47" spans="1:11">
      <c r="A47" s="126" t="s">
        <v>197</v>
      </c>
      <c r="B47" s="127" t="s">
        <v>198</v>
      </c>
      <c r="C47" s="97" t="s">
        <v>199</v>
      </c>
      <c r="D47" s="144">
        <v>45947</v>
      </c>
      <c r="E47" s="97"/>
      <c r="F47" s="99"/>
      <c r="G47" s="129">
        <v>179888.99</v>
      </c>
      <c r="H47" s="100"/>
      <c r="I47" s="99"/>
      <c r="J47" s="102"/>
      <c r="K47" s="141">
        <f t="shared" si="0"/>
        <v>179888.99</v>
      </c>
    </row>
    <row r="48" spans="1:11">
      <c r="A48" s="126" t="s">
        <v>200</v>
      </c>
      <c r="B48" s="127" t="s">
        <v>216</v>
      </c>
      <c r="C48" s="97" t="s">
        <v>85</v>
      </c>
      <c r="D48" s="144">
        <v>45635</v>
      </c>
      <c r="E48" s="144">
        <v>45995</v>
      </c>
      <c r="F48" s="99"/>
      <c r="G48" s="129">
        <v>396960.24</v>
      </c>
      <c r="H48" s="129">
        <v>0</v>
      </c>
      <c r="I48" s="129">
        <v>361763.91</v>
      </c>
      <c r="J48" s="129">
        <f>(G48+H48)-I48</f>
        <v>35196.330000000016</v>
      </c>
      <c r="K48" s="103"/>
    </row>
    <row r="49" spans="1:11">
      <c r="A49" s="126" t="s">
        <v>201</v>
      </c>
      <c r="B49" s="127" t="s">
        <v>217</v>
      </c>
      <c r="C49" s="97" t="s">
        <v>85</v>
      </c>
      <c r="D49" s="144">
        <v>45236</v>
      </c>
      <c r="E49" s="144">
        <v>46041</v>
      </c>
      <c r="F49" s="99"/>
      <c r="G49" s="129">
        <v>499999.08</v>
      </c>
      <c r="H49" s="129">
        <v>0</v>
      </c>
      <c r="I49" s="129">
        <v>491093.34</v>
      </c>
      <c r="J49" s="129">
        <f t="shared" ref="J49:J63" si="1">(G49+H49)-I49</f>
        <v>8905.7399999999907</v>
      </c>
      <c r="K49" s="103"/>
    </row>
    <row r="50" spans="1:11">
      <c r="A50" s="126" t="s">
        <v>202</v>
      </c>
      <c r="B50" s="127" t="s">
        <v>218</v>
      </c>
      <c r="C50" s="97" t="s">
        <v>85</v>
      </c>
      <c r="D50" s="144">
        <v>44631</v>
      </c>
      <c r="E50" s="144">
        <v>45904</v>
      </c>
      <c r="F50" s="99"/>
      <c r="G50" s="129">
        <v>346626.1</v>
      </c>
      <c r="H50" s="129">
        <v>0</v>
      </c>
      <c r="I50" s="129">
        <v>346626.1</v>
      </c>
      <c r="J50" s="129">
        <f t="shared" si="1"/>
        <v>0</v>
      </c>
      <c r="K50" s="103"/>
    </row>
    <row r="51" spans="1:11">
      <c r="A51" s="126" t="s">
        <v>203</v>
      </c>
      <c r="B51" s="127" t="s">
        <v>219</v>
      </c>
      <c r="C51" s="97" t="s">
        <v>85</v>
      </c>
      <c r="D51" s="144">
        <v>45169</v>
      </c>
      <c r="E51" s="144">
        <v>46065</v>
      </c>
      <c r="F51" s="99"/>
      <c r="G51" s="129">
        <v>172097.27</v>
      </c>
      <c r="H51" s="129">
        <v>0</v>
      </c>
      <c r="I51" s="129">
        <v>169471.43</v>
      </c>
      <c r="J51" s="129">
        <f t="shared" si="1"/>
        <v>2625.8399999999965</v>
      </c>
      <c r="K51" s="103"/>
    </row>
    <row r="52" spans="1:11">
      <c r="A52" s="126" t="s">
        <v>204</v>
      </c>
      <c r="B52" s="127" t="s">
        <v>220</v>
      </c>
      <c r="C52" s="97" t="s">
        <v>85</v>
      </c>
      <c r="D52" s="144">
        <v>45183</v>
      </c>
      <c r="E52" s="144">
        <v>45985</v>
      </c>
      <c r="F52" s="99"/>
      <c r="G52" s="129">
        <v>474688.53</v>
      </c>
      <c r="H52" s="129">
        <v>0</v>
      </c>
      <c r="I52" s="129">
        <v>441750</v>
      </c>
      <c r="J52" s="129">
        <f t="shared" si="1"/>
        <v>32938.530000000028</v>
      </c>
      <c r="K52" s="103"/>
    </row>
    <row r="53" spans="1:11">
      <c r="A53" s="126" t="s">
        <v>205</v>
      </c>
      <c r="B53" s="127" t="s">
        <v>221</v>
      </c>
      <c r="C53" s="97" t="s">
        <v>85</v>
      </c>
      <c r="D53" s="144">
        <v>45622</v>
      </c>
      <c r="E53" s="144">
        <v>46135</v>
      </c>
      <c r="F53" s="99"/>
      <c r="G53" s="129">
        <v>448800</v>
      </c>
      <c r="H53" s="129">
        <v>0</v>
      </c>
      <c r="I53" s="129">
        <v>435200</v>
      </c>
      <c r="J53" s="129">
        <f t="shared" si="1"/>
        <v>13600</v>
      </c>
      <c r="K53" s="103"/>
    </row>
    <row r="54" spans="1:11">
      <c r="A54" s="126" t="s">
        <v>206</v>
      </c>
      <c r="B54" s="127" t="s">
        <v>222</v>
      </c>
      <c r="C54" s="97" t="s">
        <v>85</v>
      </c>
      <c r="D54" s="144">
        <v>45126</v>
      </c>
      <c r="E54" s="144">
        <v>46135</v>
      </c>
      <c r="F54" s="99"/>
      <c r="G54" s="129">
        <v>152454.26</v>
      </c>
      <c r="H54" s="129">
        <v>0</v>
      </c>
      <c r="I54" s="129">
        <v>42140</v>
      </c>
      <c r="J54" s="129">
        <f t="shared" si="1"/>
        <v>110314.26000000001</v>
      </c>
      <c r="K54" s="103"/>
    </row>
    <row r="55" spans="1:11">
      <c r="A55" s="126" t="s">
        <v>207</v>
      </c>
      <c r="B55" s="127" t="s">
        <v>223</v>
      </c>
      <c r="C55" s="97" t="s">
        <v>85</v>
      </c>
      <c r="D55" s="144">
        <v>44299</v>
      </c>
      <c r="E55" s="144">
        <v>46126</v>
      </c>
      <c r="F55" s="99"/>
      <c r="G55" s="129">
        <v>700000</v>
      </c>
      <c r="H55" s="129">
        <v>0</v>
      </c>
      <c r="I55" s="129">
        <v>687599.46</v>
      </c>
      <c r="J55" s="129">
        <f t="shared" si="1"/>
        <v>12400.540000000037</v>
      </c>
      <c r="K55" s="103"/>
    </row>
    <row r="56" spans="1:11">
      <c r="A56" s="126" t="s">
        <v>208</v>
      </c>
      <c r="B56" s="127" t="s">
        <v>224</v>
      </c>
      <c r="C56" s="97" t="s">
        <v>85</v>
      </c>
      <c r="D56" s="144">
        <v>44300</v>
      </c>
      <c r="E56" s="144">
        <v>45862</v>
      </c>
      <c r="F56" s="99"/>
      <c r="G56" s="129">
        <v>254212.08</v>
      </c>
      <c r="H56" s="129">
        <v>0</v>
      </c>
      <c r="I56" s="129">
        <v>254212.08</v>
      </c>
      <c r="J56" s="129">
        <f t="shared" si="1"/>
        <v>0</v>
      </c>
      <c r="K56" s="103"/>
    </row>
    <row r="57" spans="1:11">
      <c r="A57" s="126" t="s">
        <v>209</v>
      </c>
      <c r="B57" s="127" t="s">
        <v>225</v>
      </c>
      <c r="C57" s="97" t="s">
        <v>85</v>
      </c>
      <c r="D57" s="144">
        <v>45239</v>
      </c>
      <c r="E57" s="144">
        <v>46150</v>
      </c>
      <c r="F57" s="99"/>
      <c r="G57" s="129">
        <v>163820</v>
      </c>
      <c r="H57" s="129">
        <v>0</v>
      </c>
      <c r="I57" s="129">
        <v>163820</v>
      </c>
      <c r="J57" s="129">
        <f t="shared" si="1"/>
        <v>0</v>
      </c>
      <c r="K57" s="103"/>
    </row>
    <row r="58" spans="1:11">
      <c r="A58" s="126" t="s">
        <v>210</v>
      </c>
      <c r="B58" s="127" t="s">
        <v>226</v>
      </c>
      <c r="C58" s="97" t="s">
        <v>85</v>
      </c>
      <c r="D58" s="144">
        <v>45183</v>
      </c>
      <c r="E58" s="144">
        <v>46035</v>
      </c>
      <c r="F58" s="99"/>
      <c r="G58" s="129">
        <v>161576.38</v>
      </c>
      <c r="H58" s="129">
        <v>0</v>
      </c>
      <c r="I58" s="129">
        <v>120667.5</v>
      </c>
      <c r="J58" s="129">
        <f t="shared" si="1"/>
        <v>40908.880000000005</v>
      </c>
      <c r="K58" s="103"/>
    </row>
    <row r="59" spans="1:11">
      <c r="A59" s="126" t="s">
        <v>211</v>
      </c>
      <c r="B59" s="127" t="s">
        <v>227</v>
      </c>
      <c r="C59" s="97" t="s">
        <v>85</v>
      </c>
      <c r="D59" s="144">
        <v>44207</v>
      </c>
      <c r="E59" s="144">
        <v>45904</v>
      </c>
      <c r="F59" s="99"/>
      <c r="G59" s="129">
        <v>160004</v>
      </c>
      <c r="H59" s="129">
        <v>0</v>
      </c>
      <c r="I59" s="129">
        <v>160004</v>
      </c>
      <c r="J59" s="129">
        <f t="shared" si="1"/>
        <v>0</v>
      </c>
      <c r="K59" s="103"/>
    </row>
    <row r="60" spans="1:11">
      <c r="A60" s="126" t="s">
        <v>212</v>
      </c>
      <c r="B60" s="127" t="s">
        <v>228</v>
      </c>
      <c r="C60" s="97" t="s">
        <v>85</v>
      </c>
      <c r="D60" s="144">
        <v>45225</v>
      </c>
      <c r="E60" s="144">
        <v>45896</v>
      </c>
      <c r="F60" s="99"/>
      <c r="G60" s="129">
        <v>398066.21</v>
      </c>
      <c r="H60" s="129">
        <v>0</v>
      </c>
      <c r="I60" s="129">
        <v>356998.54</v>
      </c>
      <c r="J60" s="129">
        <f t="shared" si="1"/>
        <v>41067.670000000042</v>
      </c>
      <c r="K60" s="103"/>
    </row>
    <row r="61" spans="1:11">
      <c r="A61" s="126" t="s">
        <v>213</v>
      </c>
      <c r="B61" s="127" t="s">
        <v>229</v>
      </c>
      <c r="C61" s="97" t="s">
        <v>85</v>
      </c>
      <c r="D61" s="144">
        <v>45117</v>
      </c>
      <c r="E61" s="144">
        <v>46087</v>
      </c>
      <c r="F61" s="99"/>
      <c r="G61" s="129">
        <v>396640.02</v>
      </c>
      <c r="H61" s="129">
        <v>0</v>
      </c>
      <c r="I61" s="129">
        <v>396640.02</v>
      </c>
      <c r="J61" s="129">
        <f t="shared" si="1"/>
        <v>0</v>
      </c>
      <c r="K61" s="103"/>
    </row>
    <row r="62" spans="1:11">
      <c r="A62" s="126" t="s">
        <v>214</v>
      </c>
      <c r="B62" s="127" t="s">
        <v>230</v>
      </c>
      <c r="C62" s="97" t="s">
        <v>85</v>
      </c>
      <c r="D62" s="144">
        <v>45121</v>
      </c>
      <c r="E62" s="144">
        <v>46030</v>
      </c>
      <c r="F62" s="99"/>
      <c r="G62" s="129">
        <v>151456.13</v>
      </c>
      <c r="H62" s="129">
        <v>0</v>
      </c>
      <c r="I62" s="129">
        <v>128733.29</v>
      </c>
      <c r="J62" s="129">
        <f t="shared" si="1"/>
        <v>22722.840000000011</v>
      </c>
      <c r="K62" s="103"/>
    </row>
    <row r="63" spans="1:11">
      <c r="A63" s="126" t="s">
        <v>215</v>
      </c>
      <c r="B63" s="127" t="s">
        <v>231</v>
      </c>
      <c r="C63" s="97" t="s">
        <v>85</v>
      </c>
      <c r="D63" s="144">
        <v>45251</v>
      </c>
      <c r="E63" s="144">
        <v>45876</v>
      </c>
      <c r="F63" s="99"/>
      <c r="G63" s="129">
        <v>449883.24</v>
      </c>
      <c r="H63" s="129">
        <v>0</v>
      </c>
      <c r="I63" s="129">
        <v>384928.72</v>
      </c>
      <c r="J63" s="129">
        <f t="shared" si="1"/>
        <v>64954.520000000019</v>
      </c>
      <c r="K63" s="103"/>
    </row>
    <row r="64" spans="1:11">
      <c r="A64" s="126" t="s">
        <v>232</v>
      </c>
      <c r="B64" s="97"/>
      <c r="C64" s="97" t="s">
        <v>87</v>
      </c>
      <c r="D64" s="98"/>
      <c r="E64" s="144">
        <v>46007</v>
      </c>
      <c r="F64" s="99"/>
      <c r="G64" s="129">
        <v>0</v>
      </c>
      <c r="H64" s="100"/>
      <c r="I64" s="99"/>
      <c r="J64" s="102"/>
      <c r="K64" s="103"/>
    </row>
    <row r="65" spans="1:11">
      <c r="A65" s="126" t="s">
        <v>233</v>
      </c>
      <c r="B65" s="97"/>
      <c r="C65" s="97" t="s">
        <v>87</v>
      </c>
      <c r="D65" s="98"/>
      <c r="E65" s="144">
        <v>46028</v>
      </c>
      <c r="F65" s="99"/>
      <c r="G65" s="129">
        <v>0</v>
      </c>
      <c r="H65" s="100"/>
      <c r="I65" s="100"/>
      <c r="J65" s="99"/>
      <c r="K65" s="101"/>
    </row>
    <row r="66" spans="1:11">
      <c r="A66" s="126" t="s">
        <v>234</v>
      </c>
      <c r="B66" s="97"/>
      <c r="C66" s="97" t="s">
        <v>87</v>
      </c>
      <c r="D66" s="98"/>
      <c r="E66" s="144">
        <v>46028</v>
      </c>
      <c r="F66" s="99"/>
      <c r="G66" s="129">
        <v>0</v>
      </c>
      <c r="H66" s="100"/>
      <c r="I66" s="100"/>
      <c r="J66" s="99"/>
      <c r="K66" s="101"/>
    </row>
    <row r="67" spans="1:11">
      <c r="A67" s="96"/>
      <c r="B67" s="97"/>
      <c r="C67" s="97"/>
      <c r="D67" s="98"/>
      <c r="E67" s="97"/>
      <c r="F67" s="99"/>
      <c r="G67" s="99"/>
      <c r="H67" s="100"/>
      <c r="I67" s="100"/>
      <c r="J67" s="99"/>
      <c r="K67" s="101"/>
    </row>
    <row r="68" spans="1:11">
      <c r="A68" s="154"/>
      <c r="B68" s="155"/>
      <c r="C68" s="155"/>
      <c r="D68" s="155"/>
      <c r="E68" s="155"/>
      <c r="F68" s="155"/>
      <c r="G68" s="155"/>
      <c r="H68" s="155"/>
      <c r="I68" s="155"/>
      <c r="J68" s="104">
        <f>SUM(J17:J67)</f>
        <v>385635.1500000002</v>
      </c>
      <c r="K68" s="105">
        <f>SUM(K17:K67)</f>
        <v>12542624.560000002</v>
      </c>
    </row>
    <row r="69" spans="1:11" ht="15" thickBot="1">
      <c r="A69" s="156"/>
      <c r="B69" s="157"/>
      <c r="C69" s="157"/>
      <c r="D69" s="157"/>
      <c r="E69" s="157"/>
      <c r="F69" s="157"/>
      <c r="G69" s="157"/>
      <c r="H69" s="157"/>
      <c r="I69" s="157"/>
      <c r="J69" s="158">
        <f>J68-K68</f>
        <v>-12156989.410000002</v>
      </c>
      <c r="K69" s="159"/>
    </row>
  </sheetData>
  <mergeCells count="24">
    <mergeCell ref="B8:E8"/>
    <mergeCell ref="F8:G8"/>
    <mergeCell ref="H8:J8"/>
    <mergeCell ref="B9:E9"/>
    <mergeCell ref="F9:G9"/>
    <mergeCell ref="H9:J9"/>
    <mergeCell ref="A2:K2"/>
    <mergeCell ref="A3:K3"/>
    <mergeCell ref="A4:K4"/>
    <mergeCell ref="A6:K6"/>
    <mergeCell ref="B7:E7"/>
    <mergeCell ref="F7:G7"/>
    <mergeCell ref="H7:J7"/>
    <mergeCell ref="B10:E10"/>
    <mergeCell ref="F10:G10"/>
    <mergeCell ref="H10:J10"/>
    <mergeCell ref="B11:E11"/>
    <mergeCell ref="F11:G11"/>
    <mergeCell ref="H11:J11"/>
    <mergeCell ref="B12:E12"/>
    <mergeCell ref="F12:G12"/>
    <mergeCell ref="H12:J12"/>
    <mergeCell ref="A68:I69"/>
    <mergeCell ref="J69:K6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3:Q43"/>
  <sheetViews>
    <sheetView topLeftCell="C1" workbookViewId="0">
      <selection activeCell="C33" sqref="C33"/>
    </sheetView>
  </sheetViews>
  <sheetFormatPr defaultRowHeight="14.4"/>
  <cols>
    <col min="3" max="3" width="60" bestFit="1" customWidth="1"/>
    <col min="4" max="4" width="15.6640625" bestFit="1" customWidth="1"/>
    <col min="5" max="6" width="14.109375" bestFit="1" customWidth="1"/>
    <col min="7" max="9" width="14" bestFit="1" customWidth="1"/>
    <col min="10" max="11" width="14.109375" bestFit="1" customWidth="1"/>
    <col min="12" max="12" width="15.5546875" bestFit="1" customWidth="1"/>
    <col min="13" max="13" width="14.109375" bestFit="1" customWidth="1"/>
    <col min="14" max="15" width="15.5546875" bestFit="1" customWidth="1"/>
    <col min="16" max="16" width="16.6640625" bestFit="1" customWidth="1"/>
    <col min="17" max="17" width="14" bestFit="1" customWidth="1"/>
  </cols>
  <sheetData>
    <row r="3" spans="1:17">
      <c r="A3" s="109"/>
      <c r="B3" s="109"/>
      <c r="C3" s="109"/>
      <c r="D3" s="173" t="s">
        <v>100</v>
      </c>
      <c r="E3" s="171"/>
      <c r="F3" s="174"/>
      <c r="G3" s="171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>
      <c r="A4" s="111" t="s">
        <v>101</v>
      </c>
      <c r="B4" s="112">
        <v>2025</v>
      </c>
      <c r="C4" s="110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>
      <c r="A5" s="110"/>
      <c r="B5" s="113"/>
      <c r="C5" s="109"/>
      <c r="D5" s="114" t="s">
        <v>102</v>
      </c>
      <c r="E5" s="114" t="s">
        <v>103</v>
      </c>
      <c r="F5" s="114" t="s">
        <v>104</v>
      </c>
      <c r="G5" s="114" t="s">
        <v>105</v>
      </c>
      <c r="H5" s="114" t="s">
        <v>106</v>
      </c>
      <c r="I5" s="114" t="s">
        <v>107</v>
      </c>
      <c r="J5" s="114" t="s">
        <v>108</v>
      </c>
      <c r="K5" s="114" t="s">
        <v>109</v>
      </c>
      <c r="L5" s="114" t="s">
        <v>110</v>
      </c>
      <c r="M5" s="114" t="s">
        <v>111</v>
      </c>
      <c r="N5" s="114" t="s">
        <v>112</v>
      </c>
      <c r="O5" s="114" t="s">
        <v>113</v>
      </c>
      <c r="P5" s="114" t="s">
        <v>4</v>
      </c>
      <c r="Q5" s="114" t="s">
        <v>114</v>
      </c>
    </row>
    <row r="6" spans="1:17">
      <c r="A6" s="115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</row>
    <row r="7" spans="1:17">
      <c r="A7" s="109"/>
      <c r="B7" s="111" t="s">
        <v>115</v>
      </c>
      <c r="C7" s="109" t="s">
        <v>116</v>
      </c>
      <c r="D7" s="116"/>
      <c r="E7" s="116">
        <v>610513.48</v>
      </c>
      <c r="F7" s="116">
        <v>5314.53</v>
      </c>
      <c r="G7" s="116">
        <v>47481.48</v>
      </c>
      <c r="H7" s="116">
        <v>60111.54</v>
      </c>
      <c r="I7" s="116">
        <v>4166.34</v>
      </c>
      <c r="J7" s="116">
        <v>4345.76</v>
      </c>
      <c r="K7" s="116">
        <v>42119.96</v>
      </c>
      <c r="L7" s="116">
        <v>12546.28</v>
      </c>
      <c r="M7" s="116">
        <v>9554.98</v>
      </c>
      <c r="N7" s="116">
        <v>5973.93</v>
      </c>
      <c r="O7" s="116">
        <v>3786.02</v>
      </c>
      <c r="P7" s="117">
        <f t="shared" ref="P7:P36" si="0">SUM(D7:O7)</f>
        <v>805914.3</v>
      </c>
      <c r="Q7" s="116">
        <f>AVERAGE(D7:O7)</f>
        <v>73264.936363636371</v>
      </c>
    </row>
    <row r="8" spans="1:17">
      <c r="A8" s="109"/>
      <c r="B8" s="111" t="s">
        <v>115</v>
      </c>
      <c r="C8" s="109" t="s">
        <v>117</v>
      </c>
      <c r="D8" s="116">
        <v>708002.22</v>
      </c>
      <c r="E8" s="118">
        <v>1796.17</v>
      </c>
      <c r="F8" s="118">
        <v>9586.93</v>
      </c>
      <c r="G8" s="118">
        <v>835.73</v>
      </c>
      <c r="H8" s="118">
        <v>558.35</v>
      </c>
      <c r="I8" s="118">
        <v>816.71</v>
      </c>
      <c r="J8" s="118">
        <v>410</v>
      </c>
      <c r="K8" s="118">
        <v>206005.48</v>
      </c>
      <c r="L8" s="118">
        <v>1380662.08</v>
      </c>
      <c r="M8" s="118">
        <v>419035.41</v>
      </c>
      <c r="N8" s="118">
        <v>1431965.85</v>
      </c>
      <c r="O8" s="118">
        <v>2641742.46</v>
      </c>
      <c r="P8" s="117">
        <f t="shared" si="0"/>
        <v>6801417.3900000006</v>
      </c>
      <c r="Q8" s="109"/>
    </row>
    <row r="9" spans="1:17">
      <c r="A9" s="109"/>
      <c r="B9" s="111" t="s">
        <v>115</v>
      </c>
      <c r="C9" s="109" t="s">
        <v>118</v>
      </c>
      <c r="D9" s="116">
        <v>318190.90000000002</v>
      </c>
      <c r="E9" s="118">
        <v>312021.58</v>
      </c>
      <c r="F9" s="118">
        <v>310184.53999999998</v>
      </c>
      <c r="G9" s="118">
        <v>341037.45</v>
      </c>
      <c r="H9" s="118">
        <v>365689.09</v>
      </c>
      <c r="I9" s="118">
        <v>352392.37</v>
      </c>
      <c r="J9" s="118">
        <v>411853.46</v>
      </c>
      <c r="K9" s="118">
        <v>375982.18</v>
      </c>
      <c r="L9" s="118">
        <v>406196.78</v>
      </c>
      <c r="M9" s="118">
        <v>423930.17</v>
      </c>
      <c r="N9" s="118">
        <v>366617.85</v>
      </c>
      <c r="O9" s="118">
        <v>440411.24</v>
      </c>
      <c r="P9" s="117">
        <f t="shared" si="0"/>
        <v>4424507.6100000003</v>
      </c>
      <c r="Q9" s="109"/>
    </row>
    <row r="10" spans="1:17">
      <c r="A10" s="109"/>
      <c r="B10" s="111" t="s">
        <v>115</v>
      </c>
      <c r="D10" s="116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7">
        <f t="shared" si="0"/>
        <v>0</v>
      </c>
      <c r="Q10" s="109"/>
    </row>
    <row r="11" spans="1:17">
      <c r="A11" s="109"/>
      <c r="B11" s="111" t="s">
        <v>115</v>
      </c>
      <c r="C11" s="109"/>
      <c r="D11" s="116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7">
        <f t="shared" si="0"/>
        <v>0</v>
      </c>
      <c r="Q11" s="109"/>
    </row>
    <row r="12" spans="1:17">
      <c r="A12" s="109"/>
      <c r="B12" s="111" t="s">
        <v>115</v>
      </c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7">
        <f t="shared" si="0"/>
        <v>0</v>
      </c>
      <c r="Q12" s="116" t="e">
        <f>AVERAGE(D12:O12)</f>
        <v>#DIV/0!</v>
      </c>
    </row>
    <row r="13" spans="1:17">
      <c r="A13" s="109"/>
      <c r="B13" s="109"/>
      <c r="C13" s="119" t="s">
        <v>4</v>
      </c>
      <c r="D13" s="117">
        <f t="shared" ref="D13:O13" si="1">SUM(D7:D12)</f>
        <v>1026193.12</v>
      </c>
      <c r="E13" s="117">
        <f t="shared" si="1"/>
        <v>924331.23</v>
      </c>
      <c r="F13" s="117">
        <f t="shared" si="1"/>
        <v>325086</v>
      </c>
      <c r="G13" s="117">
        <f t="shared" si="1"/>
        <v>389354.66000000003</v>
      </c>
      <c r="H13" s="117">
        <f t="shared" si="1"/>
        <v>426358.98000000004</v>
      </c>
      <c r="I13" s="117">
        <f t="shared" si="1"/>
        <v>357375.42</v>
      </c>
      <c r="J13" s="117">
        <f t="shared" si="1"/>
        <v>416609.22000000003</v>
      </c>
      <c r="K13" s="117">
        <f t="shared" si="1"/>
        <v>624107.62</v>
      </c>
      <c r="L13" s="117">
        <f t="shared" si="1"/>
        <v>1799405.1400000001</v>
      </c>
      <c r="M13" s="117">
        <f t="shared" si="1"/>
        <v>852520.55999999994</v>
      </c>
      <c r="N13" s="117">
        <f t="shared" si="1"/>
        <v>1804557.63</v>
      </c>
      <c r="O13" s="117">
        <f t="shared" si="1"/>
        <v>3085939.7199999997</v>
      </c>
      <c r="P13" s="117">
        <f t="shared" si="0"/>
        <v>12031839.300000001</v>
      </c>
      <c r="Q13" s="109"/>
    </row>
    <row r="14" spans="1:17">
      <c r="A14" s="109"/>
      <c r="B14" s="111" t="s">
        <v>119</v>
      </c>
      <c r="C14" s="109" t="s">
        <v>120</v>
      </c>
      <c r="D14" s="118">
        <v>368101.6</v>
      </c>
      <c r="E14" s="118">
        <v>92845.6</v>
      </c>
      <c r="F14" s="118"/>
      <c r="G14" s="118">
        <v>621203.61</v>
      </c>
      <c r="H14" s="118">
        <v>296935.90999999997</v>
      </c>
      <c r="I14" s="118">
        <v>322208.90000000002</v>
      </c>
      <c r="J14" s="118"/>
      <c r="K14" s="118">
        <v>635822.35</v>
      </c>
      <c r="L14" s="118">
        <v>832175.89</v>
      </c>
      <c r="M14" s="118">
        <v>260102.39</v>
      </c>
      <c r="N14" s="118"/>
      <c r="O14" s="118">
        <v>310165.74</v>
      </c>
      <c r="P14" s="117">
        <f t="shared" si="0"/>
        <v>3739561.99</v>
      </c>
      <c r="Q14" s="109"/>
    </row>
    <row r="15" spans="1:17">
      <c r="A15" s="109"/>
      <c r="B15" s="111" t="s">
        <v>119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7">
        <f t="shared" si="0"/>
        <v>0</v>
      </c>
      <c r="Q15" s="109"/>
    </row>
    <row r="16" spans="1:17">
      <c r="A16" s="109"/>
      <c r="B16" s="111" t="s">
        <v>119</v>
      </c>
      <c r="C16" s="109" t="s">
        <v>121</v>
      </c>
      <c r="D16" s="118">
        <v>54197.07</v>
      </c>
      <c r="E16" s="118">
        <v>56006.89</v>
      </c>
      <c r="F16" s="118">
        <v>52859.54</v>
      </c>
      <c r="G16" s="118">
        <v>49730.07</v>
      </c>
      <c r="H16" s="118">
        <v>51602.91</v>
      </c>
      <c r="I16" s="118">
        <v>54450.99</v>
      </c>
      <c r="J16" s="118">
        <v>51430.54</v>
      </c>
      <c r="K16" s="118">
        <v>59258.04</v>
      </c>
      <c r="L16" s="118">
        <v>57175.35</v>
      </c>
      <c r="M16" s="118">
        <v>59062.36</v>
      </c>
      <c r="N16" s="118">
        <v>63989.07</v>
      </c>
      <c r="O16" s="118">
        <v>54748.22</v>
      </c>
      <c r="P16" s="117">
        <f t="shared" si="0"/>
        <v>664511.04999999981</v>
      </c>
      <c r="Q16" s="109"/>
    </row>
    <row r="17" spans="1:17">
      <c r="A17" s="109"/>
      <c r="B17" s="111"/>
      <c r="C17" s="143" t="s">
        <v>132</v>
      </c>
      <c r="D17" s="118">
        <v>69622.98</v>
      </c>
      <c r="E17" s="118"/>
      <c r="F17" s="118"/>
      <c r="G17" s="118"/>
      <c r="H17" s="118"/>
      <c r="I17" s="118"/>
      <c r="J17" s="118"/>
      <c r="K17" s="118"/>
      <c r="L17" s="118">
        <v>46400.59</v>
      </c>
      <c r="M17" s="118">
        <v>69033.100000000006</v>
      </c>
      <c r="N17" s="118">
        <v>20951.77</v>
      </c>
      <c r="O17" s="118">
        <v>71598.289999999994</v>
      </c>
      <c r="P17" s="117">
        <f t="shared" si="0"/>
        <v>277606.73</v>
      </c>
      <c r="Q17" s="109"/>
    </row>
    <row r="18" spans="1:17">
      <c r="A18" s="109"/>
      <c r="B18" s="111" t="s">
        <v>119</v>
      </c>
      <c r="D18" s="118"/>
      <c r="E18" s="118"/>
      <c r="F18" s="118"/>
      <c r="G18" s="118"/>
      <c r="H18" s="116"/>
      <c r="I18" s="118"/>
      <c r="J18" s="118"/>
      <c r="K18" s="118"/>
      <c r="L18" s="118"/>
      <c r="M18" s="118"/>
      <c r="N18" s="116"/>
      <c r="O18" s="116"/>
      <c r="P18" s="117">
        <f t="shared" si="0"/>
        <v>0</v>
      </c>
      <c r="Q18" s="109"/>
    </row>
    <row r="19" spans="1:17">
      <c r="A19" s="109"/>
      <c r="B19" s="111" t="s">
        <v>119</v>
      </c>
      <c r="C19" s="109" t="s">
        <v>122</v>
      </c>
      <c r="D19" s="118">
        <v>2760.76</v>
      </c>
      <c r="E19" s="118">
        <v>696.35</v>
      </c>
      <c r="F19" s="118"/>
      <c r="G19" s="118">
        <v>4659.03</v>
      </c>
      <c r="H19" s="118">
        <v>2227.0300000000002</v>
      </c>
      <c r="I19" s="118">
        <v>2416.56</v>
      </c>
      <c r="J19" s="118"/>
      <c r="K19" s="118">
        <v>4768.67</v>
      </c>
      <c r="L19" s="118">
        <v>6241.32</v>
      </c>
      <c r="M19" s="118">
        <v>1950.77</v>
      </c>
      <c r="N19" s="118"/>
      <c r="O19" s="118">
        <v>2326.25</v>
      </c>
      <c r="P19" s="117">
        <f t="shared" si="0"/>
        <v>28046.74</v>
      </c>
      <c r="Q19" s="109"/>
    </row>
    <row r="20" spans="1:17">
      <c r="A20" s="109"/>
      <c r="B20" s="111" t="s">
        <v>119</v>
      </c>
      <c r="C20" s="109" t="s">
        <v>123</v>
      </c>
      <c r="D20" s="116">
        <v>25781.15</v>
      </c>
      <c r="E20" s="116">
        <v>15169.1</v>
      </c>
      <c r="F20" s="116">
        <v>7457.79</v>
      </c>
      <c r="G20" s="116">
        <v>2399.3200000000002</v>
      </c>
      <c r="H20" s="116">
        <v>19233.169999999998</v>
      </c>
      <c r="I20" s="116">
        <v>4126.67</v>
      </c>
      <c r="J20" s="116">
        <v>5443.96</v>
      </c>
      <c r="K20" s="118">
        <v>10728.26</v>
      </c>
      <c r="L20" s="116">
        <v>8858.4599999999991</v>
      </c>
      <c r="M20" s="116">
        <v>33841.33</v>
      </c>
      <c r="N20" s="118">
        <v>27691.55</v>
      </c>
      <c r="O20" s="118">
        <v>28544.1</v>
      </c>
      <c r="P20" s="117">
        <f t="shared" si="0"/>
        <v>189274.86000000002</v>
      </c>
      <c r="Q20" s="116">
        <f t="shared" ref="Q20:Q21" si="2">AVERAGE(D20:O20)</f>
        <v>15772.905000000001</v>
      </c>
    </row>
    <row r="21" spans="1:17">
      <c r="A21" s="109"/>
      <c r="B21" s="111" t="s">
        <v>119</v>
      </c>
      <c r="C21" s="109" t="s">
        <v>124</v>
      </c>
      <c r="D21" s="116">
        <v>12890.57</v>
      </c>
      <c r="E21" s="116">
        <v>7584.55</v>
      </c>
      <c r="F21" s="116">
        <v>3728.9</v>
      </c>
      <c r="G21" s="116">
        <v>1199.6500000000001</v>
      </c>
      <c r="H21" s="116">
        <v>9616.58</v>
      </c>
      <c r="I21" s="116">
        <v>2063.34</v>
      </c>
      <c r="J21" s="116">
        <v>2721.97</v>
      </c>
      <c r="K21" s="116">
        <v>5364.13</v>
      </c>
      <c r="L21" s="116">
        <v>4429.2299999999996</v>
      </c>
      <c r="M21" s="116">
        <v>16920.669999999998</v>
      </c>
      <c r="N21" s="116">
        <v>13845.77</v>
      </c>
      <c r="O21" s="116">
        <v>14272.04</v>
      </c>
      <c r="P21" s="117">
        <f t="shared" si="0"/>
        <v>94637.4</v>
      </c>
      <c r="Q21" s="116">
        <f t="shared" si="2"/>
        <v>7886.45</v>
      </c>
    </row>
    <row r="22" spans="1:17">
      <c r="A22" s="109"/>
      <c r="B22" s="111" t="s">
        <v>119</v>
      </c>
      <c r="C22" s="109" t="s">
        <v>125</v>
      </c>
      <c r="D22" s="118">
        <v>25781.15</v>
      </c>
      <c r="E22" s="118">
        <f>E20</f>
        <v>15169.1</v>
      </c>
      <c r="F22" s="118">
        <f t="shared" ref="F22:O22" si="3">F20</f>
        <v>7457.79</v>
      </c>
      <c r="G22" s="118">
        <f t="shared" si="3"/>
        <v>2399.3200000000002</v>
      </c>
      <c r="H22" s="118">
        <f t="shared" si="3"/>
        <v>19233.169999999998</v>
      </c>
      <c r="I22" s="118">
        <f>I20</f>
        <v>4126.67</v>
      </c>
      <c r="J22" s="118">
        <f t="shared" si="3"/>
        <v>5443.96</v>
      </c>
      <c r="K22" s="118">
        <f t="shared" si="3"/>
        <v>10728.26</v>
      </c>
      <c r="L22" s="118">
        <f t="shared" si="3"/>
        <v>8858.4599999999991</v>
      </c>
      <c r="M22" s="118">
        <f>M20</f>
        <v>33841.33</v>
      </c>
      <c r="N22" s="118">
        <f t="shared" si="3"/>
        <v>27691.55</v>
      </c>
      <c r="O22" s="118">
        <f t="shared" si="3"/>
        <v>28544.1</v>
      </c>
      <c r="P22" s="117">
        <f t="shared" si="0"/>
        <v>189274.86000000002</v>
      </c>
      <c r="Q22" s="109"/>
    </row>
    <row r="23" spans="1:17">
      <c r="A23" s="109"/>
      <c r="B23" s="111" t="s">
        <v>119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7">
        <f t="shared" si="0"/>
        <v>0</v>
      </c>
      <c r="Q23" s="109"/>
    </row>
    <row r="24" spans="1:17">
      <c r="A24" s="109"/>
      <c r="B24" s="111" t="s">
        <v>119</v>
      </c>
      <c r="C24" s="120" t="s">
        <v>126</v>
      </c>
      <c r="D24" s="118"/>
      <c r="E24" s="118"/>
      <c r="F24" s="118"/>
      <c r="G24" s="118"/>
      <c r="H24" s="118"/>
      <c r="I24" s="118"/>
      <c r="J24" s="118">
        <v>25451.34</v>
      </c>
      <c r="K24" s="118"/>
      <c r="L24" s="118"/>
      <c r="M24" s="118"/>
      <c r="N24" s="118"/>
      <c r="O24" s="118"/>
      <c r="P24" s="117">
        <f t="shared" si="0"/>
        <v>25451.34</v>
      </c>
      <c r="Q24" s="109"/>
    </row>
    <row r="25" spans="1:17">
      <c r="A25" s="109"/>
      <c r="B25" s="111" t="s">
        <v>119</v>
      </c>
      <c r="C25" s="109" t="s">
        <v>133</v>
      </c>
      <c r="D25" s="118"/>
      <c r="E25" s="118"/>
      <c r="F25" s="118">
        <v>133132.53</v>
      </c>
      <c r="G25" s="118"/>
      <c r="H25" s="118"/>
      <c r="I25" s="118"/>
      <c r="J25" s="118"/>
      <c r="K25" s="118"/>
      <c r="L25" s="118"/>
      <c r="M25" s="118"/>
      <c r="N25" s="118"/>
      <c r="O25" s="118"/>
      <c r="P25" s="117">
        <f t="shared" si="0"/>
        <v>133132.53</v>
      </c>
      <c r="Q25" s="109"/>
    </row>
    <row r="26" spans="1:17">
      <c r="A26" s="109"/>
      <c r="B26" s="111" t="s">
        <v>119</v>
      </c>
      <c r="C26" s="109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7">
        <f t="shared" si="0"/>
        <v>0</v>
      </c>
      <c r="Q26" s="109"/>
    </row>
    <row r="27" spans="1:17">
      <c r="A27" s="109"/>
      <c r="B27" s="111" t="s">
        <v>119</v>
      </c>
      <c r="C27" s="109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7">
        <f t="shared" si="0"/>
        <v>0</v>
      </c>
      <c r="Q27" s="109"/>
    </row>
    <row r="28" spans="1:17">
      <c r="A28" s="109"/>
      <c r="B28" s="111" t="s">
        <v>119</v>
      </c>
      <c r="C28" s="109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7">
        <f t="shared" si="0"/>
        <v>0</v>
      </c>
      <c r="Q28" s="109"/>
    </row>
    <row r="29" spans="1:17">
      <c r="A29" s="109"/>
      <c r="B29" s="111" t="s">
        <v>119</v>
      </c>
      <c r="C29" s="109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7">
        <f t="shared" si="0"/>
        <v>0</v>
      </c>
      <c r="Q29" s="109"/>
    </row>
    <row r="30" spans="1:17">
      <c r="A30" s="109"/>
      <c r="B30" s="111" t="s">
        <v>119</v>
      </c>
      <c r="C30" s="109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7">
        <f t="shared" si="0"/>
        <v>0</v>
      </c>
      <c r="Q30" s="109"/>
    </row>
    <row r="31" spans="1:17">
      <c r="A31" s="109"/>
      <c r="B31" s="111" t="s">
        <v>119</v>
      </c>
      <c r="C31" s="10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7">
        <f t="shared" si="0"/>
        <v>0</v>
      </c>
      <c r="Q31" s="109"/>
    </row>
    <row r="32" spans="1:17">
      <c r="A32" s="109"/>
      <c r="B32" s="111" t="s">
        <v>119</v>
      </c>
      <c r="C32" s="109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7">
        <f t="shared" si="0"/>
        <v>0</v>
      </c>
      <c r="Q32" s="109"/>
    </row>
    <row r="33" spans="1:17">
      <c r="A33" s="109"/>
      <c r="B33" s="111" t="s">
        <v>119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7">
        <f t="shared" si="0"/>
        <v>0</v>
      </c>
      <c r="Q33" s="109"/>
    </row>
    <row r="34" spans="1:17">
      <c r="A34" s="109"/>
      <c r="B34" s="111" t="s">
        <v>119</v>
      </c>
      <c r="C34" s="109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7">
        <f t="shared" si="0"/>
        <v>0</v>
      </c>
      <c r="Q34" s="109"/>
    </row>
    <row r="35" spans="1:17">
      <c r="A35" s="109"/>
      <c r="B35" s="111" t="s">
        <v>119</v>
      </c>
      <c r="C35" s="109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7">
        <f t="shared" si="0"/>
        <v>0</v>
      </c>
      <c r="Q35" s="109"/>
    </row>
    <row r="36" spans="1:17">
      <c r="A36" s="109"/>
      <c r="B36" s="109"/>
      <c r="C36" s="119" t="s">
        <v>4</v>
      </c>
      <c r="D36" s="117">
        <f t="shared" ref="D36:O36" si="4">SUM(D14:D35)</f>
        <v>559135.28</v>
      </c>
      <c r="E36" s="117">
        <f t="shared" si="4"/>
        <v>187471.59</v>
      </c>
      <c r="F36" s="117">
        <f t="shared" si="4"/>
        <v>204636.55</v>
      </c>
      <c r="G36" s="117">
        <f t="shared" si="4"/>
        <v>681590.99999999988</v>
      </c>
      <c r="H36" s="117">
        <f t="shared" si="4"/>
        <v>398848.76999999996</v>
      </c>
      <c r="I36" s="117">
        <f t="shared" si="4"/>
        <v>389393.13</v>
      </c>
      <c r="J36" s="117">
        <f t="shared" si="4"/>
        <v>90491.77</v>
      </c>
      <c r="K36" s="117">
        <f t="shared" si="4"/>
        <v>726669.71000000008</v>
      </c>
      <c r="L36" s="117">
        <f t="shared" si="4"/>
        <v>964139.29999999981</v>
      </c>
      <c r="M36" s="117">
        <f t="shared" si="4"/>
        <v>474751.95</v>
      </c>
      <c r="N36" s="117">
        <f t="shared" si="4"/>
        <v>154169.71</v>
      </c>
      <c r="O36" s="117">
        <f t="shared" si="4"/>
        <v>510198.73999999987</v>
      </c>
      <c r="P36" s="117">
        <f t="shared" si="0"/>
        <v>5341497.5</v>
      </c>
      <c r="Q36" s="109"/>
    </row>
    <row r="37" spans="1:17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18"/>
      <c r="Q37" s="110"/>
    </row>
    <row r="38" spans="1:17">
      <c r="A38" s="109"/>
      <c r="B38" s="109"/>
      <c r="C38" s="166"/>
      <c r="D38" s="167"/>
      <c r="E38" s="167"/>
      <c r="F38" s="167"/>
      <c r="G38" s="167"/>
      <c r="H38" s="167"/>
      <c r="I38" s="167"/>
      <c r="J38" s="167"/>
      <c r="K38" s="167"/>
      <c r="L38" s="168"/>
      <c r="M38" s="175" t="s">
        <v>127</v>
      </c>
      <c r="N38" s="170"/>
      <c r="O38" s="171"/>
      <c r="P38" s="117">
        <f>P13-P36</f>
        <v>6690341.8000000007</v>
      </c>
      <c r="Q38" s="110"/>
    </row>
    <row r="39" spans="1:17">
      <c r="A39" s="109"/>
      <c r="B39" s="109"/>
      <c r="C39" s="166"/>
      <c r="D39" s="167"/>
      <c r="E39" s="167"/>
      <c r="F39" s="167"/>
      <c r="G39" s="167"/>
      <c r="H39" s="167"/>
      <c r="I39" s="167"/>
      <c r="J39" s="167"/>
      <c r="K39" s="167"/>
      <c r="L39" s="168"/>
      <c r="M39" s="176" t="s">
        <v>128</v>
      </c>
      <c r="N39" s="170"/>
      <c r="O39" s="171"/>
      <c r="P39" s="121">
        <f>F3+P38</f>
        <v>6690341.8000000007</v>
      </c>
      <c r="Q39" s="110"/>
    </row>
    <row r="40" spans="1:17">
      <c r="A40" s="109"/>
      <c r="B40" s="109"/>
      <c r="C40" s="166"/>
      <c r="D40" s="167"/>
      <c r="E40" s="167"/>
      <c r="F40" s="167"/>
      <c r="G40" s="167"/>
      <c r="H40" s="167"/>
      <c r="I40" s="167"/>
      <c r="J40" s="167"/>
      <c r="K40" s="167"/>
      <c r="L40" s="168"/>
      <c r="M40" s="169" t="s">
        <v>129</v>
      </c>
      <c r="N40" s="170"/>
      <c r="O40" s="171"/>
      <c r="P40" s="122">
        <f>F3</f>
        <v>0</v>
      </c>
      <c r="Q40" s="110"/>
    </row>
    <row r="41" spans="1:17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09"/>
      <c r="N41" s="109"/>
      <c r="O41" s="109"/>
      <c r="P41" s="109"/>
      <c r="Q41" s="110"/>
    </row>
    <row r="42" spans="1:17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09"/>
      <c r="M42" s="172" t="s">
        <v>130</v>
      </c>
      <c r="N42" s="170"/>
      <c r="O42" s="171"/>
      <c r="P42" s="116">
        <f>SUM(P23:P35)-P33</f>
        <v>158583.87</v>
      </c>
      <c r="Q42" s="123">
        <f>P42/P14</f>
        <v>4.2407070781035505E-2</v>
      </c>
    </row>
    <row r="43" spans="1:17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09"/>
      <c r="M43" s="172" t="s">
        <v>131</v>
      </c>
      <c r="N43" s="170"/>
      <c r="O43" s="171"/>
      <c r="P43" s="116">
        <f>P22</f>
        <v>189274.86000000002</v>
      </c>
      <c r="Q43" s="123" t="e">
        <f>P43/P12</f>
        <v>#DIV/0!</v>
      </c>
    </row>
  </sheetData>
  <mergeCells count="10">
    <mergeCell ref="C40:L40"/>
    <mergeCell ref="M40:O40"/>
    <mergeCell ref="M42:O42"/>
    <mergeCell ref="M43:O43"/>
    <mergeCell ref="D3:E3"/>
    <mergeCell ref="F3:G3"/>
    <mergeCell ref="C38:L38"/>
    <mergeCell ref="M38:O38"/>
    <mergeCell ref="C39:L39"/>
    <mergeCell ref="M39:O39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28CC9628AE7E4D9780EBCDDA4CCE5D" ma:contentTypeVersion="13" ma:contentTypeDescription="Crie um novo documento." ma:contentTypeScope="" ma:versionID="40e3ed7a0b9c61ffdb69662ac6a2ec8c">
  <xsd:schema xmlns:xsd="http://www.w3.org/2001/XMLSchema" xmlns:xs="http://www.w3.org/2001/XMLSchema" xmlns:p="http://schemas.microsoft.com/office/2006/metadata/properties" xmlns:ns2="9813519b-3cb6-4eb7-b374-2759e8f8a1ef" xmlns:ns3="78cec8e6-2dd2-454d-b20c-951d9c576460" targetNamespace="http://schemas.microsoft.com/office/2006/metadata/properties" ma:root="true" ma:fieldsID="d657fa035ce3485ea1c983f694771cab" ns2:_="" ns3:_="">
    <xsd:import namespace="9813519b-3cb6-4eb7-b374-2759e8f8a1ef"/>
    <xsd:import namespace="78cec8e6-2dd2-454d-b20c-951d9c5764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3519b-3cb6-4eb7-b374-2759e8f8a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ec8e6-2dd2-454d-b20c-951d9c5764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CFABE-1A2A-47C9-98FA-2E65A339AD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0C0E42-139A-4E19-A33E-B41BE9B95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3519b-3cb6-4eb7-b374-2759e8f8a1ef"/>
    <ds:schemaRef ds:uri="78cec8e6-2dd2-454d-b20c-951d9c576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C1D7F7-C5F6-4FEE-B5AE-DD709512B4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Plano de Aplicação</vt:lpstr>
      <vt:lpstr>Memória de cálculo investimento</vt:lpstr>
      <vt:lpstr>Cálculos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Miramar de Souza Almeida</dc:creator>
  <cp:keywords/>
  <dc:description/>
  <cp:lastModifiedBy>Rosana de Lourdes Terra Ramos</cp:lastModifiedBy>
  <cp:revision/>
  <cp:lastPrinted>2026-05-21T12:33:27Z</cp:lastPrinted>
  <dcterms:created xsi:type="dcterms:W3CDTF">2015-08-25T14:37:43Z</dcterms:created>
  <dcterms:modified xsi:type="dcterms:W3CDTF">2026-05-21T12:33:30Z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0x010100B528CC9628AE7E4D9780EBCDDA4CCE5D</vt:lpwstr>
  </property>
</Properties>
</file>