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ee-bppi\Users\Administrador\Documents\Servidor-BPPI\COBRANÇA\2023\Plano de Aplicação da Cobrança 2023\"/>
    </mc:Choice>
  </mc:AlternateContent>
  <xr:revisionPtr revIDLastSave="0" documentId="14_{78D417C1-396F-4017-81D7-82A7A7F5FA8C}" xr6:coauthVersionLast="45" xr6:coauthVersionMax="45" xr10:uidLastSave="{00000000-0000-0000-0000-000000000000}"/>
  <workbookProtection workbookPassword="D11B" lockStructure="1"/>
  <bookViews>
    <workbookView xWindow="-120" yWindow="-120" windowWidth="20730" windowHeight="11160" tabRatio="630" activeTab="2" xr2:uid="{00000000-000D-0000-FFFF-FFFF00000000}"/>
  </bookViews>
  <sheets>
    <sheet name="Plano de Aplicação" sheetId="8" r:id="rId1"/>
    <sheet name="Plano de Custeio " sheetId="10" r:id="rId2"/>
    <sheet name="Memória de cálculo Invest " sheetId="9" r:id="rId3"/>
  </sheets>
  <definedNames>
    <definedName name="_xlnm._FilterDatabase" localSheetId="2" hidden="1">'Memória de cálculo Invest '!$A$15:$K$35</definedName>
    <definedName name="_xlnm.Print_Area" localSheetId="1">'Plano de Custeio '!$A$1:$C$51</definedName>
    <definedName name="_xlnm.Print_Titles" localSheetId="2">'Memória de cálculo Invest 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9" l="1"/>
  <c r="K33" i="9" l="1"/>
  <c r="K32" i="9"/>
  <c r="K31" i="9"/>
  <c r="K34" i="9"/>
  <c r="K30" i="9"/>
  <c r="J19" i="9"/>
  <c r="J34" i="9" l="1"/>
  <c r="B30" i="8" l="1"/>
  <c r="C50" i="10"/>
  <c r="B50" i="10" s="1"/>
  <c r="C32" i="10"/>
  <c r="C27" i="10"/>
  <c r="C51" i="10" s="1"/>
  <c r="C20" i="10"/>
  <c r="C11" i="10"/>
  <c r="C68" i="8"/>
  <c r="C13" i="8"/>
  <c r="C9" i="8"/>
  <c r="C64" i="8"/>
  <c r="C62" i="8"/>
  <c r="B29" i="8"/>
  <c r="C26" i="8" s="1"/>
  <c r="B34" i="8"/>
  <c r="C31" i="8" s="1"/>
  <c r="B49" i="8"/>
  <c r="C46" i="8"/>
  <c r="B44" i="8"/>
  <c r="C41" i="8" s="1"/>
  <c r="B39" i="8"/>
  <c r="C36" i="8" s="1"/>
  <c r="C18" i="8"/>
  <c r="C58" i="8" s="1"/>
  <c r="D58" i="8"/>
  <c r="B51" i="10" l="1"/>
  <c r="B24" i="10" s="1"/>
  <c r="C8" i="8"/>
  <c r="B53" i="8" s="1"/>
  <c r="C25" i="8"/>
  <c r="B54" i="8" s="1"/>
  <c r="B22" i="8"/>
  <c r="B42" i="10" l="1"/>
  <c r="B19" i="10"/>
  <c r="B37" i="10"/>
  <c r="B44" i="10"/>
  <c r="B41" i="10"/>
  <c r="B16" i="10"/>
  <c r="B34" i="10"/>
  <c r="B15" i="10"/>
  <c r="B43" i="10"/>
  <c r="B40" i="10"/>
  <c r="B8" i="10"/>
  <c r="B22" i="10"/>
  <c r="B48" i="10"/>
  <c r="B39" i="10"/>
  <c r="B23" i="10"/>
  <c r="B45" i="10"/>
  <c r="B36" i="10"/>
  <c r="B17" i="10"/>
  <c r="B47" i="10"/>
  <c r="B31" i="10"/>
  <c r="B30" i="10"/>
  <c r="B49" i="10"/>
  <c r="B14" i="10"/>
  <c r="B9" i="10"/>
  <c r="B10" i="10"/>
  <c r="B18" i="10"/>
  <c r="B35" i="10"/>
  <c r="B26" i="10"/>
  <c r="B46" i="10"/>
  <c r="B25" i="10"/>
  <c r="B29" i="10"/>
  <c r="B38" i="10"/>
  <c r="C52" i="8"/>
  <c r="C72" i="8" s="1"/>
  <c r="C73" i="8" s="1"/>
  <c r="B27" i="10" l="1"/>
  <c r="B11" i="10"/>
  <c r="B20" i="10"/>
  <c r="B20" i="8" s="1"/>
  <c r="B32" i="10"/>
  <c r="B21" i="8" s="1"/>
  <c r="B5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Miramar de Souza Almeida</author>
  </authors>
  <commentList>
    <comment ref="B70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Caso o resultado dos empreendimentos no anexo III seja negativo, insira o número com sinal de subtração.</t>
        </r>
      </text>
    </comment>
    <comment ref="C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Recurso de custeio transferido para investimento.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<sst xmlns="http://schemas.openxmlformats.org/spreadsheetml/2006/main" count="232" uniqueCount="182">
  <si>
    <t>%</t>
  </si>
  <si>
    <t>SUB-TOTAL</t>
  </si>
  <si>
    <t>1 RECEITA</t>
  </si>
  <si>
    <t>APURAÇÃO FINAL DA DISPONIBILIDADE PARA INVESTIMENTO</t>
  </si>
  <si>
    <t>2.1 Ajuste da Arrecadação</t>
  </si>
  <si>
    <t>2.1.1 Previsão de arrecadação (ano anterior)</t>
  </si>
  <si>
    <t>2.1.2 Arrecadação (ano anterior)</t>
  </si>
  <si>
    <t xml:space="preserve">2.2 Ajuste do Custeio </t>
  </si>
  <si>
    <t>2.2.1 Previsão de alocação para Custeio (ano anterior)</t>
  </si>
  <si>
    <t>5 APURAÇÃO PARCIAL DA DISPONIBILIDADE PARA INVESTIMENTO</t>
  </si>
  <si>
    <t xml:space="preserve">3.1.1 Custos Operacionais da Cobrança (Alinea "a", Inciso VI, Artigo 22) </t>
  </si>
  <si>
    <t>3.1.2 Atividades de Secretaria Executiva (Alinea "b", Inciso VI, Artigo 22)</t>
  </si>
  <si>
    <t>3.1.3 Outras Despesas de Custeio (Alinea "c", Inciso VI, Artigo 22)</t>
  </si>
  <si>
    <t xml:space="preserve">3.1.4 Pessoal </t>
  </si>
  <si>
    <t>4.1 Rendimentos</t>
  </si>
  <si>
    <t>4.1.1 Previsão de rendimentos (ano anterior)</t>
  </si>
  <si>
    <t>4.1.2 Rendimentos (ano anterior)</t>
  </si>
  <si>
    <t>4.1.3 Ajuste do exercício (ano anterior) (previsto x rendimentos)</t>
  </si>
  <si>
    <t>4.1.4 Previsão para o exercício de (ano vigente)</t>
  </si>
  <si>
    <t>4.2 Taxa de Administração do Agente Financeiro (Inc. V, Artigo 22)</t>
  </si>
  <si>
    <t>TOTAL</t>
  </si>
  <si>
    <t>4.2.1 Previsão da Taxa de Administração (ano anterior)</t>
  </si>
  <si>
    <t>4.2.2 Desembolso efetuado (ano anterior)</t>
  </si>
  <si>
    <t>4.2.3 Ajuste da Taxa de Administração do Agente Financeiro (ano anterior)</t>
  </si>
  <si>
    <t>4.2.4 Provisão para taxa de Administração do Agente Financeiro (ano vigente)</t>
  </si>
  <si>
    <t>4.3 Taxa de Liberação do Agente Financeiro (Inc. V, Artigo 22)</t>
  </si>
  <si>
    <t>4.3.1 Previsão da Taxa de Liberação do Agente Financeiro (ano anterior)</t>
  </si>
  <si>
    <t>4.3.2 Desembolso efetuado (ano anterior)</t>
  </si>
  <si>
    <t>4.3.3 Ajuste da Taxa de Liberação do Agente Financeiro (ano anterior)</t>
  </si>
  <si>
    <t>4.3.4 Provisão para Taxa de Liberação do Agente Financeiro (ano vigente)</t>
  </si>
  <si>
    <t>4.4 Taxa de Liberação dos Agentes Técnicos (Inc. V, Artigo 22)</t>
  </si>
  <si>
    <t>4.4.1 Previsão da Taxa de Liberação dos Agentes Técnicos (ano anterior)</t>
  </si>
  <si>
    <t>4.4.2 Desembolso efetuado (ano anterior)</t>
  </si>
  <si>
    <t>4.4.3 Ajuste da Taxa de Liberação dos Agentes Técnicos (ano anterior)</t>
  </si>
  <si>
    <t>4.5 Taxa de Comissão de Estudos dos Agentes Técnicos (Inc. V, Artigo 22)</t>
  </si>
  <si>
    <t>4.5.1 Previsão da Taxa Comissão de Estudos dos Agentes Técnicos  (ano anterior)</t>
  </si>
  <si>
    <t>4.5.2 Desembolso efetuado (ano anterior)</t>
  </si>
  <si>
    <t>4.5.3 Ajuste da Taxa Comissão de Estudos dos Agentes Técnicos (ano anterior)</t>
  </si>
  <si>
    <t>4.5.4 Provisão para Taxa Comissão de Estudos dos Agentes Técnicos (ano vigente)</t>
  </si>
  <si>
    <t>6 DESPESAS DE INVESTIMENTO</t>
  </si>
  <si>
    <t>6.2 Empréstimos contratados (Inc. I, Artigo 22)</t>
  </si>
  <si>
    <t>6.3 Bases técnicas e instrum.da Política Est. de Rec. Hídricos (Inc. II, Artigo 22)</t>
  </si>
  <si>
    <t>6.4 Transferências entre Bacias (Inc. III, Artigo 22)</t>
  </si>
  <si>
    <t>6.5 Pagamentos (inc. IV, art. 22)</t>
  </si>
  <si>
    <t>6.7 Ajuste do exercício (ano anterior)</t>
  </si>
  <si>
    <t>6.7.1 Valor disponibilizado no plano de aplicação da cobrança (ano anterior) para investimento</t>
  </si>
  <si>
    <t>Decreto estadual nº 50.667, de 30 de março de 2006</t>
  </si>
  <si>
    <t>4 AJUSTES DO EXERCÍCIO ANTERIOR E PREVISÕES PARA O EXERCÍCIO ATUAL</t>
  </si>
  <si>
    <t>3.1 Alocação da previsão de arrecadação (máximo de 10%)</t>
  </si>
  <si>
    <t>3 DESPESAS DE CUSTEIO (conforme Anexo II)</t>
  </si>
  <si>
    <t>5.2 Total dos Ajustes e Previsões (transporte item 4)</t>
  </si>
  <si>
    <t xml:space="preserve">6.1 Alocação da previsão de arrecadação para Investimento </t>
  </si>
  <si>
    <r>
      <t xml:space="preserve">6.9 Apuração parcial da disponibilidade para investimento </t>
    </r>
    <r>
      <rPr>
        <sz val="9"/>
        <rFont val="Arial"/>
        <family val="2"/>
      </rPr>
      <t>(transporte item 5)</t>
    </r>
  </si>
  <si>
    <t>ANEXO III - MEMÓRIA DE CÁLCULO DE INVESTIMENTO</t>
  </si>
  <si>
    <t>FÓRMULAS UTILIZADAS PARA CÁLCULO DOS RESÍDUOS E COMPROMETIDOS</t>
  </si>
  <si>
    <t>SITUAÇÃO</t>
  </si>
  <si>
    <t>Para empreendimentos com código SINFEHIDRO anteriores ao do Plano de Aplicação do (ano anterior)</t>
  </si>
  <si>
    <t>Para empreendimentos com código SINFEHIDRO
do Plano de Aplicação do (ano anterior)</t>
  </si>
  <si>
    <t xml:space="preserve">Lançar valor final na coluna </t>
  </si>
  <si>
    <t>Em análise</t>
  </si>
  <si>
    <t>-</t>
  </si>
  <si>
    <t>Valor da coluna (A)</t>
  </si>
  <si>
    <t>(F)</t>
  </si>
  <si>
    <t>Não Iniciado</t>
  </si>
  <si>
    <t>Valor da coluna (A)-(B)</t>
  </si>
  <si>
    <t>Valor da coluna (B)</t>
  </si>
  <si>
    <t>Em Execução</t>
  </si>
  <si>
    <t>Concluído</t>
  </si>
  <si>
    <t>Valor da coluna (B)+(C)-(D)</t>
  </si>
  <si>
    <t>(E)</t>
  </si>
  <si>
    <t>Cancelado</t>
  </si>
  <si>
    <t>Nº SINFEHIDRO</t>
  </si>
  <si>
    <t>Nº Contrato</t>
  </si>
  <si>
    <t>Situação</t>
  </si>
  <si>
    <t>Data de assinatura</t>
  </si>
  <si>
    <t>Data de conclusão</t>
  </si>
  <si>
    <t>Valor pleiteado
(A)</t>
  </si>
  <si>
    <t>Valor aprovado
(B)</t>
  </si>
  <si>
    <t>Valor aditado
(C)</t>
  </si>
  <si>
    <t>Valor pago
(D)</t>
  </si>
  <si>
    <t>DISPONÍVEL
P/ UTILIZAÇÃO
(E)</t>
  </si>
  <si>
    <r>
      <rPr>
        <b/>
        <sz val="8"/>
        <rFont val="Arial"/>
        <family val="2"/>
      </rPr>
      <t>COMPROMETIDO</t>
    </r>
    <r>
      <rPr>
        <b/>
        <sz val="8.5"/>
        <rFont val="Arial"/>
        <family val="2"/>
      </rPr>
      <t xml:space="preserve">
</t>
    </r>
    <r>
      <rPr>
        <b/>
        <sz val="9"/>
        <rFont val="Arial"/>
        <family val="2"/>
      </rPr>
      <t>(F)</t>
    </r>
  </si>
  <si>
    <t>Não iniciado</t>
  </si>
  <si>
    <t>NATUREZA DAS DESPESAS</t>
  </si>
  <si>
    <t>VALOR (R$)</t>
  </si>
  <si>
    <t>Custos Operacionais da Cobrança</t>
  </si>
  <si>
    <t>1. Tarifas/Taxas Bancárias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</si>
  <si>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</si>
  <si>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</si>
  <si>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</si>
  <si>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</si>
  <si>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</si>
  <si>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</si>
  <si>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</si>
  <si>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</si>
  <si>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Serviços de Terceiros </t>
  </si>
  <si>
    <t xml:space="preserve">1. Assessoria e consultoria </t>
  </si>
  <si>
    <t>2.Serviços de limpeza e vigilância (pessoa jurídica)</t>
  </si>
  <si>
    <t>3. Outros serviços de terceiros (pessoa jurídica)</t>
  </si>
  <si>
    <t>4. Outros serviços de terceiros (pessoa física)</t>
  </si>
  <si>
    <t>5. Obrigações Tributárias e Contributivas</t>
  </si>
  <si>
    <t>Outras Despesas de Custeio</t>
  </si>
  <si>
    <t>1. Serviços de Utilidade Pública</t>
  </si>
  <si>
    <t xml:space="preserve">2. Passagens e Despesas com Locomoção </t>
  </si>
  <si>
    <t>3. Alimentação e Hospedagem</t>
  </si>
  <si>
    <t xml:space="preserve"> Pessoal </t>
  </si>
  <si>
    <t>1. Sálarios Líquidos</t>
  </si>
  <si>
    <t>2. Férias + 1/3 (líquido)</t>
  </si>
  <si>
    <t>3. 13º salário (líquido)</t>
  </si>
  <si>
    <t>4. Provisão rescisão contratual</t>
  </si>
  <si>
    <t>5. Vale transporte</t>
  </si>
  <si>
    <t>6. Imposto de renda</t>
  </si>
  <si>
    <t>7. INSS</t>
  </si>
  <si>
    <t>8. PIS</t>
  </si>
  <si>
    <t>9. FGTS</t>
  </si>
  <si>
    <t>10. Assistência médica</t>
  </si>
  <si>
    <t>11. Auxílio alimentação</t>
  </si>
  <si>
    <t>12. Seguro de vida</t>
  </si>
  <si>
    <t>13.Auxílio creche</t>
  </si>
  <si>
    <t>14. Contribuição sindical</t>
  </si>
  <si>
    <t>15. Treinamento/Cursos/Congressos</t>
  </si>
  <si>
    <t>16. Saúde ocupacional (segurança e medicina do trabalho)</t>
  </si>
  <si>
    <t>TOTAL:</t>
  </si>
  <si>
    <t>3.1.5 Transferência para DAEE - ressarcimento de tarifas de cobrança</t>
  </si>
  <si>
    <t>2. Transferência para DAEE - ressarcimento de tarifas de cobrança</t>
  </si>
  <si>
    <t>3. Correio</t>
  </si>
  <si>
    <t>2 AJUSTE DA RECEITA (ANO ANTERIOR)</t>
  </si>
  <si>
    <t xml:space="preserve">6.5.1  Manutenção de sistemas de controle da cobrança </t>
  </si>
  <si>
    <t>6.6.1 Rendimentos repassados pelo Tomador</t>
  </si>
  <si>
    <t>6.6.2 Devolução de parcelas - contratos não reembolsáveis</t>
  </si>
  <si>
    <t>5.1 Ajuste da receita (transporte item 2)</t>
  </si>
  <si>
    <t>6.6.3 Pagamento de parcelas - contratos com retorno</t>
  </si>
  <si>
    <t>6.6 Lançamentos a Crédito constantes no extrato bancário (ano anterior)</t>
  </si>
  <si>
    <t xml:space="preserve">6.8 Transferência de Recursos de Custeio </t>
  </si>
  <si>
    <t>2.2.2 Repasse efetivo para Custeio (ano anterior) (Somatória de "Resgate para transferência ao DAEE" + "Repasse sobre valores arrecadados")</t>
  </si>
  <si>
    <t>2.1.3 Restituição de valores cobrados pelo uso da água ao usuário</t>
  </si>
  <si>
    <t>Valor da coluna (A) ou (B)</t>
  </si>
  <si>
    <t>4.4.4 Provisão para Taxa de Liberação dos Agentes Técnicos (ano vigente)</t>
  </si>
  <si>
    <t>5.3 Recebimento da Transferência entre Bacias efetuada por outro(s) CBH(s)</t>
  </si>
  <si>
    <t xml:space="preserve">6.7.2 Resultado da movimentação dos empreendimentos (transporte do resultado apurado no Anexo III - Memória de cálculo  de investimento - pela diferença entre disponibilidades e valores  comprometidos) </t>
  </si>
  <si>
    <t>Resultado a transferir para o item 6.7.2 do Anexo I (manter sinal negativo para transporte caso o resultado seja negativo)</t>
  </si>
  <si>
    <t>1.1 Previsão de Arrecadação no Exercício (ano vigente) - Programa 2625 - Ação 2575- LOA</t>
  </si>
  <si>
    <t>2021-ALPA_COB-9</t>
  </si>
  <si>
    <t>236/2021</t>
  </si>
  <si>
    <t>2021-ALPA_COB-15</t>
  </si>
  <si>
    <t>227/2021</t>
  </si>
  <si>
    <t>2021-ALPA_COB-14</t>
  </si>
  <si>
    <t>221/2021</t>
  </si>
  <si>
    <t>2021-ALPA_COB-13</t>
  </si>
  <si>
    <t>009/2022</t>
  </si>
  <si>
    <t>10/01/2022  </t>
  </si>
  <si>
    <t>2021-ALPA_COB-12</t>
  </si>
  <si>
    <t>247/2021</t>
  </si>
  <si>
    <t>2021-ALPA_COB-11</t>
  </si>
  <si>
    <t>215/2021</t>
  </si>
  <si>
    <t>2021-ALPA_COB-10</t>
  </si>
  <si>
    <t>218/2021</t>
  </si>
  <si>
    <t>2020-ALPA_COB-2</t>
  </si>
  <si>
    <t>014/2021</t>
  </si>
  <si>
    <t>2020-ALPA_COB-3</t>
  </si>
  <si>
    <t>023/2021</t>
  </si>
  <si>
    <t>2020-ALPA_COB-4</t>
  </si>
  <si>
    <t>040/2021</t>
  </si>
  <si>
    <t>2020-ALPA_COB-5</t>
  </si>
  <si>
    <t>086/2021</t>
  </si>
  <si>
    <t>2020-ALPA_COB-6</t>
  </si>
  <si>
    <t>283/2020</t>
  </si>
  <si>
    <t>2020-ALPA_COB-7</t>
  </si>
  <si>
    <t>071/2021</t>
  </si>
  <si>
    <t>2020-ALPA_COB-8</t>
  </si>
  <si>
    <t>009/2021</t>
  </si>
  <si>
    <t>2022-ALPA_COB-20</t>
  </si>
  <si>
    <t>2022-ALPA_COB-19</t>
  </si>
  <si>
    <t>2022-ALPA_COB-18</t>
  </si>
  <si>
    <t>2022-ALPA_COB-17</t>
  </si>
  <si>
    <t>Em execução</t>
  </si>
  <si>
    <t>Em complementação</t>
  </si>
  <si>
    <t xml:space="preserve">DELIBERAÇÃO CBH-ALPA Nº 205, de 31 de março de 2023            </t>
  </si>
  <si>
    <t>ANEXO I - PLANO DE APLICAÇÃO DE RECURSOS DA COBRANÇA PARA (2023)</t>
  </si>
  <si>
    <t xml:space="preserve">DELIBERAÇÃO CBH-ALPA Nº 205, de 31 de Março de 2023  </t>
  </si>
  <si>
    <t>ANEXO II - DESPESAS DE CUSTEIO PARA (2023)</t>
  </si>
  <si>
    <t>DELIBERAÇÃO CBH-ALPA Nº 205/2023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</si>
</sst>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&quot;\ 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7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14" fillId="0" borderId="0" xfId="0" applyFont="1"/>
    <xf numFmtId="0" fontId="14" fillId="0" borderId="1" xfId="0" applyFont="1" applyBorder="1"/>
    <xf numFmtId="0" fontId="15" fillId="0" borderId="2" xfId="0" applyFont="1" applyBorder="1"/>
    <xf numFmtId="0" fontId="14" fillId="0" borderId="2" xfId="0" applyFont="1" applyBorder="1"/>
    <xf numFmtId="10" fontId="16" fillId="0" borderId="3" xfId="0" applyNumberFormat="1" applyFont="1" applyBorder="1" applyAlignment="1" applyProtection="1">
      <alignment vertical="center"/>
      <protection locked="0"/>
    </xf>
    <xf numFmtId="9" fontId="16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 applyProtection="1">
      <alignment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2" fontId="7" fillId="2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justify" wrapText="1"/>
    </xf>
    <xf numFmtId="2" fontId="14" fillId="0" borderId="11" xfId="0" applyNumberFormat="1" applyFont="1" applyBorder="1" applyAlignment="1">
      <alignment horizontal="right"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horizontal="justify" vertical="justify" wrapText="1"/>
    </xf>
    <xf numFmtId="0" fontId="15" fillId="0" borderId="13" xfId="0" applyFont="1" applyBorder="1" applyAlignment="1">
      <alignment horizontal="justify" vertical="justify" wrapText="1"/>
    </xf>
    <xf numFmtId="0" fontId="15" fillId="4" borderId="13" xfId="0" applyFont="1" applyFill="1" applyBorder="1" applyAlignment="1">
      <alignment horizontal="center" vertical="justify" wrapText="1"/>
    </xf>
    <xf numFmtId="0" fontId="0" fillId="0" borderId="2" xfId="0" applyBorder="1" applyAlignment="1">
      <alignment wrapText="1"/>
    </xf>
    <xf numFmtId="0" fontId="14" fillId="0" borderId="0" xfId="0" applyFont="1" applyAlignment="1">
      <alignment horizontal="justify" vertical="center"/>
    </xf>
    <xf numFmtId="4" fontId="3" fillId="0" borderId="11" xfId="0" applyNumberFormat="1" applyFont="1" applyBorder="1" applyAlignment="1" applyProtection="1">
      <alignment horizontal="justify" vertical="center"/>
      <protection locked="0"/>
    </xf>
    <xf numFmtId="4" fontId="3" fillId="0" borderId="4" xfId="0" applyNumberFormat="1" applyFont="1" applyBorder="1" applyAlignment="1" applyProtection="1">
      <alignment horizontal="justify" vertical="center"/>
      <protection locked="0"/>
    </xf>
    <xf numFmtId="164" fontId="4" fillId="0" borderId="4" xfId="5" applyFont="1" applyBorder="1" applyAlignment="1" applyProtection="1">
      <alignment horizontal="justify" vertical="center"/>
      <protection locked="0"/>
    </xf>
    <xf numFmtId="0" fontId="14" fillId="0" borderId="0" xfId="0" applyFont="1" applyAlignment="1">
      <alignment vertical="center"/>
    </xf>
    <xf numFmtId="164" fontId="3" fillId="0" borderId="5" xfId="0" applyNumberFormat="1" applyFont="1" applyBorder="1" applyAlignment="1" applyProtection="1">
      <alignment vertical="center"/>
      <protection locked="0"/>
    </xf>
    <xf numFmtId="4" fontId="4" fillId="0" borderId="6" xfId="0" applyNumberFormat="1" applyFont="1" applyBorder="1" applyAlignment="1" applyProtection="1">
      <alignment vertical="center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164" fontId="4" fillId="0" borderId="6" xfId="5" applyFont="1" applyFill="1" applyBorder="1" applyAlignment="1" applyProtection="1">
      <alignment horizontal="right" vertical="center"/>
      <protection locked="0"/>
    </xf>
    <xf numFmtId="164" fontId="4" fillId="0" borderId="5" xfId="5" applyFont="1" applyFill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3" fillId="4" borderId="9" xfId="0" applyFont="1" applyFill="1" applyBorder="1" applyAlignment="1" applyProtection="1">
      <alignment vertical="center"/>
      <protection locked="0"/>
    </xf>
    <xf numFmtId="0" fontId="3" fillId="4" borderId="9" xfId="2" applyFont="1" applyFill="1" applyBorder="1" applyAlignment="1" applyProtection="1">
      <alignment horizontal="center" vertical="center"/>
      <protection locked="0"/>
    </xf>
    <xf numFmtId="0" fontId="3" fillId="4" borderId="3" xfId="2" applyFont="1" applyFill="1" applyBorder="1" applyAlignment="1" applyProtection="1">
      <alignment horizontal="center" vertical="center"/>
      <protection locked="0"/>
    </xf>
    <xf numFmtId="0" fontId="2" fillId="4" borderId="3" xfId="2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4" fontId="3" fillId="5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4" fontId="4" fillId="0" borderId="15" xfId="0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6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3" fillId="5" borderId="11" xfId="0" applyNumberFormat="1" applyFont="1" applyFill="1" applyBorder="1" applyAlignment="1" applyProtection="1">
      <alignment horizontal="center" vertical="center"/>
      <protection locked="0"/>
    </xf>
    <xf numFmtId="4" fontId="3" fillId="5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0" fontId="17" fillId="0" borderId="17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4" fontId="3" fillId="5" borderId="18" xfId="0" applyNumberFormat="1" applyFont="1" applyFill="1" applyBorder="1" applyAlignment="1" applyProtection="1">
      <alignment horizontal="center" vertical="center"/>
      <protection locked="0"/>
    </xf>
    <xf numFmtId="4" fontId="3" fillId="5" borderId="19" xfId="0" applyNumberFormat="1" applyFont="1" applyFill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4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4" fontId="3" fillId="5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justify" vertical="center"/>
      <protection locked="0"/>
    </xf>
    <xf numFmtId="4" fontId="3" fillId="5" borderId="4" xfId="0" applyNumberFormat="1" applyFont="1" applyFill="1" applyBorder="1" applyAlignment="1" applyProtection="1">
      <alignment horizontal="justify" vertical="center"/>
      <protection locked="0"/>
    </xf>
    <xf numFmtId="0" fontId="3" fillId="0" borderId="4" xfId="0" applyFont="1" applyBorder="1" applyAlignment="1" applyProtection="1">
      <alignment horizontal="justify" vertical="center"/>
      <protection locked="0"/>
    </xf>
    <xf numFmtId="0" fontId="17" fillId="0" borderId="20" xfId="0" applyFont="1" applyBorder="1" applyAlignment="1" applyProtection="1">
      <alignment horizontal="justify" vertical="center"/>
      <protection locked="0"/>
    </xf>
    <xf numFmtId="0" fontId="17" fillId="0" borderId="0" xfId="0" applyFont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/>
      <protection locked="0"/>
    </xf>
    <xf numFmtId="4" fontId="3" fillId="5" borderId="12" xfId="0" applyNumberFormat="1" applyFont="1" applyFill="1" applyBorder="1" applyAlignment="1" applyProtection="1">
      <alignment horizontal="justify" vertical="center"/>
      <protection locked="0"/>
    </xf>
    <xf numFmtId="164" fontId="3" fillId="0" borderId="5" xfId="5" applyFont="1" applyBorder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horizontal="justify" vertical="center"/>
      <protection locked="0"/>
    </xf>
    <xf numFmtId="4" fontId="3" fillId="5" borderId="5" xfId="0" applyNumberFormat="1" applyFont="1" applyFill="1" applyBorder="1" applyAlignment="1" applyProtection="1">
      <alignment horizontal="justify" vertical="center"/>
      <protection locked="0"/>
    </xf>
    <xf numFmtId="164" fontId="3" fillId="0" borderId="5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0" fontId="16" fillId="0" borderId="3" xfId="0" applyNumberFormat="1" applyFont="1" applyBorder="1" applyAlignment="1">
      <alignment vertical="center"/>
    </xf>
    <xf numFmtId="4" fontId="3" fillId="0" borderId="12" xfId="0" applyNumberFormat="1" applyFont="1" applyBorder="1" applyAlignment="1" applyProtection="1">
      <alignment horizontal="justify" vertical="center"/>
      <protection locked="0"/>
    </xf>
    <xf numFmtId="4" fontId="4" fillId="0" borderId="25" xfId="0" applyNumberFormat="1" applyFont="1" applyBorder="1" applyAlignment="1" applyProtection="1">
      <alignment horizontal="right" vertical="center"/>
      <protection locked="0"/>
    </xf>
    <xf numFmtId="164" fontId="3" fillId="0" borderId="4" xfId="0" applyNumberFormat="1" applyFont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4" fontId="4" fillId="0" borderId="4" xfId="5" applyFont="1" applyFill="1" applyBorder="1" applyAlignment="1" applyProtection="1">
      <alignment horizontal="right" vertical="center"/>
      <protection locked="0"/>
    </xf>
    <xf numFmtId="164" fontId="4" fillId="0" borderId="25" xfId="5" applyFont="1" applyFill="1" applyBorder="1" applyAlignment="1" applyProtection="1">
      <alignment horizontal="right" vertical="center"/>
      <protection locked="0"/>
    </xf>
    <xf numFmtId="4" fontId="3" fillId="0" borderId="23" xfId="0" applyNumberFormat="1" applyFont="1" applyBorder="1" applyAlignment="1" applyProtection="1">
      <alignment horizontal="justify" vertical="center"/>
      <protection locked="0"/>
    </xf>
    <xf numFmtId="164" fontId="4" fillId="0" borderId="12" xfId="5" applyFont="1" applyBorder="1" applyAlignment="1" applyProtection="1">
      <alignment horizontal="justify" vertical="center"/>
      <protection locked="0"/>
    </xf>
    <xf numFmtId="164" fontId="3" fillId="5" borderId="11" xfId="5" applyFont="1" applyFill="1" applyBorder="1" applyAlignment="1" applyProtection="1">
      <alignment horizontal="justify" vertical="center"/>
      <protection locked="0"/>
    </xf>
    <xf numFmtId="164" fontId="3" fillId="5" borderId="4" xfId="5" applyFont="1" applyFill="1" applyBorder="1" applyAlignment="1" applyProtection="1">
      <alignment horizontal="justify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4" fontId="3" fillId="5" borderId="25" xfId="0" applyNumberFormat="1" applyFont="1" applyFill="1" applyBorder="1" applyAlignment="1" applyProtection="1">
      <alignment horizontal="center" vertical="center"/>
      <protection locked="0"/>
    </xf>
    <xf numFmtId="4" fontId="3" fillId="5" borderId="6" xfId="0" applyNumberFormat="1" applyFont="1" applyFill="1" applyBorder="1" applyAlignment="1" applyProtection="1">
      <alignment horizontal="center" vertical="center"/>
      <protection locked="0"/>
    </xf>
    <xf numFmtId="4" fontId="3" fillId="5" borderId="27" xfId="0" applyNumberFormat="1" applyFont="1" applyFill="1" applyBorder="1" applyAlignment="1" applyProtection="1">
      <alignment horizontal="center" vertical="center"/>
      <protection locked="0"/>
    </xf>
    <xf numFmtId="164" fontId="4" fillId="0" borderId="11" xfId="0" applyNumberFormat="1" applyFont="1" applyBorder="1" applyAlignment="1">
      <alignment vertical="center"/>
    </xf>
    <xf numFmtId="164" fontId="3" fillId="6" borderId="7" xfId="0" applyNumberFormat="1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15" fillId="0" borderId="28" xfId="0" applyFont="1" applyBorder="1"/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/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4" fontId="7" fillId="2" borderId="21" xfId="0" applyNumberFormat="1" applyFont="1" applyFill="1" applyBorder="1" applyAlignment="1">
      <alignment horizontal="righ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164" fontId="3" fillId="6" borderId="21" xfId="0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right" wrapText="1"/>
    </xf>
    <xf numFmtId="10" fontId="14" fillId="0" borderId="4" xfId="3" applyNumberFormat="1" applyFont="1" applyBorder="1" applyAlignment="1">
      <alignment wrapText="1"/>
    </xf>
    <xf numFmtId="4" fontId="15" fillId="0" borderId="4" xfId="0" applyNumberFormat="1" applyFont="1" applyBorder="1" applyAlignment="1">
      <alignment horizontal="right" wrapText="1"/>
    </xf>
    <xf numFmtId="10" fontId="15" fillId="0" borderId="4" xfId="3" applyNumberFormat="1" applyFont="1" applyBorder="1" applyAlignment="1">
      <alignment wrapText="1"/>
    </xf>
    <xf numFmtId="9" fontId="15" fillId="0" borderId="4" xfId="3" applyFont="1" applyBorder="1" applyAlignment="1">
      <alignment wrapText="1"/>
    </xf>
    <xf numFmtId="9" fontId="14" fillId="0" borderId="4" xfId="3" applyFont="1" applyBorder="1" applyAlignment="1">
      <alignment wrapText="1"/>
    </xf>
    <xf numFmtId="4" fontId="14" fillId="0" borderId="4" xfId="0" applyNumberFormat="1" applyFont="1" applyBorder="1" applyAlignment="1">
      <alignment wrapText="1"/>
    </xf>
    <xf numFmtId="2" fontId="15" fillId="3" borderId="3" xfId="0" applyNumberFormat="1" applyFont="1" applyFill="1" applyBorder="1" applyAlignment="1">
      <alignment horizontal="center" vertical="center" wrapText="1"/>
    </xf>
    <xf numFmtId="10" fontId="15" fillId="3" borderId="34" xfId="0" applyNumberFormat="1" applyFont="1" applyFill="1" applyBorder="1" applyAlignment="1">
      <alignment horizontal="center" wrapText="1"/>
    </xf>
    <xf numFmtId="165" fontId="0" fillId="0" borderId="0" xfId="0" applyNumberFormat="1" applyAlignment="1">
      <alignment wrapText="1"/>
    </xf>
    <xf numFmtId="164" fontId="12" fillId="0" borderId="2" xfId="5" applyFont="1" applyBorder="1" applyAlignment="1">
      <alignment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44" fontId="7" fillId="0" borderId="21" xfId="7" applyFont="1" applyBorder="1" applyAlignment="1">
      <alignment horizontal="right" vertical="center" wrapText="1"/>
    </xf>
    <xf numFmtId="4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3" fillId="0" borderId="22" xfId="0" applyNumberFormat="1" applyFont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34" xfId="0" applyFont="1" applyFill="1" applyBorder="1" applyAlignment="1" applyProtection="1">
      <alignment horizontal="left" vertical="center"/>
      <protection locked="0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2" fillId="0" borderId="0" xfId="2" applyFont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64" fontId="3" fillId="6" borderId="36" xfId="0" applyNumberFormat="1" applyFont="1" applyFill="1" applyBorder="1" applyAlignment="1">
      <alignment horizontal="center" vertical="center" wrapText="1"/>
    </xf>
    <xf numFmtId="164" fontId="3" fillId="6" borderId="27" xfId="0" applyNumberFormat="1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/>
    </xf>
    <xf numFmtId="0" fontId="3" fillId="6" borderId="3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</cellXfs>
  <cellStyles count="9">
    <cellStyle name="Hiperlink 2" xfId="1" xr:uid="{00000000-0005-0000-0000-000000000000}"/>
    <cellStyle name="Moeda" xfId="7" builtinId="4"/>
    <cellStyle name="Normal" xfId="0" builtinId="0"/>
    <cellStyle name="Normal 2" xfId="2" xr:uid="{00000000-0005-0000-0000-000002000000}"/>
    <cellStyle name="Normal 3" xfId="8" xr:uid="{4FE92A30-A3FB-4340-BA30-E8CA0935B403}"/>
    <cellStyle name="Porcentagem" xfId="3" builtinId="5"/>
    <cellStyle name="Porcentagem 2" xfId="4" xr:uid="{00000000-0005-0000-0000-000004000000}"/>
    <cellStyle name="Vírgula" xfId="5" builtinId="3"/>
    <cellStyle name="Vírgul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zoomScale="120" zoomScaleNormal="120" zoomScalePageLayoutView="120" workbookViewId="0">
      <selection activeCell="E8" sqref="E8"/>
    </sheetView>
  </sheetViews>
  <sheetFormatPr defaultRowHeight="12.75" x14ac:dyDescent="0.2"/>
  <cols>
    <col min="1" max="1" width="71.5703125" style="1" customWidth="1"/>
    <col min="2" max="2" width="12.85546875" style="1" customWidth="1"/>
    <col min="3" max="3" width="13.140625" style="1" customWidth="1"/>
    <col min="4" max="4" width="7.7109375" style="1" bestFit="1" customWidth="1"/>
    <col min="5" max="16384" width="9.140625" style="1"/>
  </cols>
  <sheetData>
    <row r="1" spans="1:4" x14ac:dyDescent="0.2">
      <c r="A1" s="141" t="s">
        <v>177</v>
      </c>
      <c r="B1" s="141"/>
      <c r="C1" s="141"/>
      <c r="D1" s="141"/>
    </row>
    <row r="2" spans="1:4" x14ac:dyDescent="0.2">
      <c r="A2" s="142" t="s">
        <v>178</v>
      </c>
      <c r="B2" s="142"/>
      <c r="C2" s="142"/>
      <c r="D2" s="142"/>
    </row>
    <row r="3" spans="1:4" x14ac:dyDescent="0.2">
      <c r="A3" s="142" t="s">
        <v>46</v>
      </c>
      <c r="B3" s="142"/>
      <c r="C3" s="142"/>
      <c r="D3" s="142"/>
    </row>
    <row r="4" spans="1:4" ht="13.5" thickBot="1" x14ac:dyDescent="0.25">
      <c r="B4" s="2"/>
      <c r="C4" s="2"/>
      <c r="D4" s="2"/>
    </row>
    <row r="5" spans="1:4" s="30" customFormat="1" ht="15.75" customHeight="1" thickBot="1" x14ac:dyDescent="0.3">
      <c r="A5" s="37" t="s">
        <v>2</v>
      </c>
      <c r="B5" s="38" t="s">
        <v>1</v>
      </c>
      <c r="C5" s="39" t="s">
        <v>20</v>
      </c>
      <c r="D5" s="40" t="s">
        <v>0</v>
      </c>
    </row>
    <row r="6" spans="1:4" s="30" customFormat="1" ht="25.5" customHeight="1" thickBot="1" x14ac:dyDescent="0.3">
      <c r="A6" s="41" t="s">
        <v>141</v>
      </c>
      <c r="B6" s="42"/>
      <c r="C6" s="7">
        <v>1900000</v>
      </c>
      <c r="D6" s="6">
        <v>1</v>
      </c>
    </row>
    <row r="7" spans="1:4" s="30" customFormat="1" ht="7.5" customHeight="1" thickBot="1" x14ac:dyDescent="0.3">
      <c r="A7" s="43"/>
      <c r="B7" s="44"/>
      <c r="C7" s="45"/>
      <c r="D7" s="46"/>
    </row>
    <row r="8" spans="1:4" s="30" customFormat="1" ht="15.75" customHeight="1" thickBot="1" x14ac:dyDescent="0.3">
      <c r="A8" s="136" t="s">
        <v>126</v>
      </c>
      <c r="B8" s="137"/>
      <c r="C8" s="78">
        <f>SUM(C9)+(C13)</f>
        <v>-1299214.51</v>
      </c>
      <c r="D8" s="47"/>
    </row>
    <row r="9" spans="1:4" s="30" customFormat="1" ht="13.5" customHeight="1" thickBot="1" x14ac:dyDescent="0.3">
      <c r="A9" s="48" t="s">
        <v>4</v>
      </c>
      <c r="B9" s="49"/>
      <c r="C9" s="78">
        <f>SUM(B11)-(B10)-(B12)</f>
        <v>-1351975.45</v>
      </c>
      <c r="D9" s="46"/>
    </row>
    <row r="10" spans="1:4" s="30" customFormat="1" ht="13.5" customHeight="1" x14ac:dyDescent="0.25">
      <c r="A10" s="50" t="s">
        <v>5</v>
      </c>
      <c r="B10" s="32">
        <v>2994036</v>
      </c>
      <c r="C10" s="51"/>
      <c r="D10" s="46"/>
    </row>
    <row r="11" spans="1:4" s="30" customFormat="1" ht="13.5" customHeight="1" x14ac:dyDescent="0.25">
      <c r="A11" s="50" t="s">
        <v>6</v>
      </c>
      <c r="B11" s="32">
        <v>1642060.55</v>
      </c>
      <c r="C11" s="49"/>
      <c r="D11" s="46"/>
    </row>
    <row r="12" spans="1:4" s="30" customFormat="1" ht="13.5" customHeight="1" thickBot="1" x14ac:dyDescent="0.3">
      <c r="A12" s="50" t="s">
        <v>135</v>
      </c>
      <c r="B12" s="32">
        <v>0</v>
      </c>
      <c r="C12" s="94"/>
      <c r="D12" s="46"/>
    </row>
    <row r="13" spans="1:4" s="30" customFormat="1" ht="13.5" customHeight="1" thickBot="1" x14ac:dyDescent="0.3">
      <c r="A13" s="53" t="s">
        <v>7</v>
      </c>
      <c r="B13" s="49"/>
      <c r="C13" s="78">
        <f>(B14)-(B15)</f>
        <v>52760.939999999995</v>
      </c>
      <c r="D13" s="46"/>
    </row>
    <row r="14" spans="1:4" s="30" customFormat="1" ht="13.5" customHeight="1" thickBot="1" x14ac:dyDescent="0.3">
      <c r="A14" s="50" t="s">
        <v>8</v>
      </c>
      <c r="B14" s="32">
        <v>104791.26</v>
      </c>
      <c r="C14" s="31"/>
      <c r="D14" s="46"/>
    </row>
    <row r="15" spans="1:4" s="30" customFormat="1" ht="24.75" customHeight="1" thickBot="1" x14ac:dyDescent="0.3">
      <c r="A15" s="93" t="s">
        <v>134</v>
      </c>
      <c r="B15" s="33">
        <v>52030.32</v>
      </c>
      <c r="C15" s="52"/>
      <c r="D15" s="46"/>
    </row>
    <row r="16" spans="1:4" s="30" customFormat="1" ht="7.5" customHeight="1" thickBot="1" x14ac:dyDescent="0.3">
      <c r="A16" s="54"/>
      <c r="B16" s="55"/>
      <c r="C16" s="55"/>
      <c r="D16" s="46"/>
    </row>
    <row r="17" spans="1:4" s="30" customFormat="1" ht="15.75" customHeight="1" thickBot="1" x14ac:dyDescent="0.3">
      <c r="A17" s="136" t="s">
        <v>49</v>
      </c>
      <c r="B17" s="138"/>
      <c r="C17" s="137"/>
      <c r="D17" s="56"/>
    </row>
    <row r="18" spans="1:4" s="30" customFormat="1" ht="13.5" customHeight="1" thickBot="1" x14ac:dyDescent="0.3">
      <c r="A18" s="57" t="s">
        <v>48</v>
      </c>
      <c r="B18" s="58"/>
      <c r="C18" s="79">
        <f>C6*D18</f>
        <v>95000</v>
      </c>
      <c r="D18" s="5">
        <v>0.05</v>
      </c>
    </row>
    <row r="19" spans="1:4" s="30" customFormat="1" ht="13.5" customHeight="1" x14ac:dyDescent="0.25">
      <c r="A19" s="50" t="s">
        <v>10</v>
      </c>
      <c r="B19" s="8">
        <v>26600</v>
      </c>
      <c r="C19" s="59"/>
      <c r="D19" s="60"/>
    </row>
    <row r="20" spans="1:4" s="30" customFormat="1" ht="13.5" customHeight="1" x14ac:dyDescent="0.25">
      <c r="A20" s="50" t="s">
        <v>11</v>
      </c>
      <c r="B20" s="8">
        <f>'Plano de Custeio '!B20+'Plano de Custeio '!B27</f>
        <v>47500</v>
      </c>
      <c r="C20" s="49"/>
      <c r="D20" s="46"/>
    </row>
    <row r="21" spans="1:4" s="30" customFormat="1" ht="13.5" customHeight="1" x14ac:dyDescent="0.25">
      <c r="A21" s="50" t="s">
        <v>12</v>
      </c>
      <c r="B21" s="8">
        <f>'Plano de Custeio '!B32</f>
        <v>20900</v>
      </c>
      <c r="C21" s="49"/>
      <c r="D21" s="46"/>
    </row>
    <row r="22" spans="1:4" s="30" customFormat="1" ht="13.5" customHeight="1" x14ac:dyDescent="0.25">
      <c r="A22" s="61" t="s">
        <v>13</v>
      </c>
      <c r="B22" s="36">
        <f>'Plano de Custeio '!B50</f>
        <v>0</v>
      </c>
      <c r="C22" s="62"/>
      <c r="D22" s="47"/>
    </row>
    <row r="23" spans="1:4" s="30" customFormat="1" ht="13.5" customHeight="1" thickBot="1" x14ac:dyDescent="0.3">
      <c r="A23" s="133" t="s">
        <v>123</v>
      </c>
      <c r="B23" s="134">
        <v>13456.55</v>
      </c>
      <c r="C23" s="135"/>
      <c r="D23" s="47"/>
    </row>
    <row r="24" spans="1:4" s="30" customFormat="1" ht="7.5" customHeight="1" thickBot="1" x14ac:dyDescent="0.3">
      <c r="A24" s="63"/>
      <c r="B24" s="64"/>
      <c r="C24" s="64"/>
      <c r="D24" s="46"/>
    </row>
    <row r="25" spans="1:4" s="30" customFormat="1" ht="15.75" customHeight="1" thickBot="1" x14ac:dyDescent="0.3">
      <c r="A25" s="136" t="s">
        <v>47</v>
      </c>
      <c r="B25" s="137"/>
      <c r="C25" s="78">
        <f>(C26)+(C31)+(C36)+(C41)+(C46)</f>
        <v>88246.420000000013</v>
      </c>
      <c r="D25" s="46"/>
    </row>
    <row r="26" spans="1:4" s="30" customFormat="1" ht="13.5" customHeight="1" thickBot="1" x14ac:dyDescent="0.3">
      <c r="A26" s="48" t="s">
        <v>14</v>
      </c>
      <c r="B26" s="49"/>
      <c r="C26" s="78">
        <f>SUM(B30)+(B29)</f>
        <v>250795.97</v>
      </c>
      <c r="D26" s="46"/>
    </row>
    <row r="27" spans="1:4" s="30" customFormat="1" ht="13.5" customHeight="1" x14ac:dyDescent="0.25">
      <c r="A27" s="50" t="s">
        <v>15</v>
      </c>
      <c r="B27" s="9">
        <v>74850.899999999994</v>
      </c>
      <c r="C27" s="132"/>
      <c r="D27" s="46"/>
    </row>
    <row r="28" spans="1:4" s="30" customFormat="1" ht="13.5" customHeight="1" x14ac:dyDescent="0.25">
      <c r="A28" s="50" t="s">
        <v>16</v>
      </c>
      <c r="B28" s="9">
        <v>278146.87</v>
      </c>
      <c r="C28" s="49"/>
      <c r="D28" s="46"/>
    </row>
    <row r="29" spans="1:4" s="30" customFormat="1" ht="13.5" customHeight="1" x14ac:dyDescent="0.25">
      <c r="A29" s="50" t="s">
        <v>17</v>
      </c>
      <c r="B29" s="85">
        <f>(B28)-(B27)</f>
        <v>203295.97</v>
      </c>
      <c r="C29" s="49"/>
      <c r="D29" s="46"/>
    </row>
    <row r="30" spans="1:4" s="30" customFormat="1" ht="13.5" customHeight="1" thickBot="1" x14ac:dyDescent="0.3">
      <c r="A30" s="50" t="s">
        <v>18</v>
      </c>
      <c r="B30" s="84">
        <f>C6*0.025</f>
        <v>47500</v>
      </c>
      <c r="C30" s="52"/>
      <c r="D30" s="46"/>
    </row>
    <row r="31" spans="1:4" s="30" customFormat="1" ht="13.5" customHeight="1" thickBot="1" x14ac:dyDescent="0.3">
      <c r="A31" s="53" t="s">
        <v>19</v>
      </c>
      <c r="B31" s="49"/>
      <c r="C31" s="78">
        <f>SUM(B34)-(B35)</f>
        <v>-61106.259999999995</v>
      </c>
      <c r="D31" s="46"/>
    </row>
    <row r="32" spans="1:4" s="30" customFormat="1" ht="13.5" customHeight="1" x14ac:dyDescent="0.25">
      <c r="A32" s="50" t="s">
        <v>21</v>
      </c>
      <c r="B32" s="9">
        <v>36176</v>
      </c>
      <c r="C32" s="51"/>
      <c r="D32" s="46"/>
    </row>
    <row r="33" spans="1:4" s="30" customFormat="1" ht="13.5" customHeight="1" x14ac:dyDescent="0.25">
      <c r="A33" s="50" t="s">
        <v>22</v>
      </c>
      <c r="B33" s="34">
        <v>48677.27</v>
      </c>
      <c r="C33" s="49"/>
      <c r="D33" s="46"/>
    </row>
    <row r="34" spans="1:4" s="30" customFormat="1" ht="13.5" customHeight="1" x14ac:dyDescent="0.25">
      <c r="A34" s="50" t="s">
        <v>23</v>
      </c>
      <c r="B34" s="86">
        <f>(B32)-(B33)</f>
        <v>-12501.269999999997</v>
      </c>
      <c r="C34" s="49"/>
      <c r="D34" s="46"/>
    </row>
    <row r="35" spans="1:4" s="30" customFormat="1" ht="13.5" customHeight="1" thickBot="1" x14ac:dyDescent="0.3">
      <c r="A35" s="50" t="s">
        <v>24</v>
      </c>
      <c r="B35" s="87">
        <v>48604.99</v>
      </c>
      <c r="C35" s="52"/>
      <c r="D35" s="46"/>
    </row>
    <row r="36" spans="1:4" s="30" customFormat="1" ht="13.5" customHeight="1" thickBot="1" x14ac:dyDescent="0.3">
      <c r="A36" s="53" t="s">
        <v>25</v>
      </c>
      <c r="B36" s="49"/>
      <c r="C36" s="78">
        <f>SUM(B39)-(B40)</f>
        <v>-45127.58</v>
      </c>
      <c r="D36" s="46"/>
    </row>
    <row r="37" spans="1:4" s="30" customFormat="1" ht="13.5" customHeight="1" x14ac:dyDescent="0.25">
      <c r="A37" s="50" t="s">
        <v>26</v>
      </c>
      <c r="B37" s="34">
        <v>8588</v>
      </c>
      <c r="C37" s="51"/>
      <c r="D37" s="46"/>
    </row>
    <row r="38" spans="1:4" s="30" customFormat="1" ht="13.5" customHeight="1" x14ac:dyDescent="0.25">
      <c r="A38" s="50" t="s">
        <v>27</v>
      </c>
      <c r="B38" s="34">
        <v>11514.62</v>
      </c>
      <c r="C38" s="49"/>
      <c r="D38" s="46"/>
    </row>
    <row r="39" spans="1:4" s="30" customFormat="1" ht="13.5" customHeight="1" x14ac:dyDescent="0.25">
      <c r="A39" s="50" t="s">
        <v>28</v>
      </c>
      <c r="B39" s="85">
        <f>(B37)-(B38)</f>
        <v>-2926.6200000000008</v>
      </c>
      <c r="C39" s="49"/>
      <c r="D39" s="46"/>
    </row>
    <row r="40" spans="1:4" s="30" customFormat="1" ht="13.5" customHeight="1" x14ac:dyDescent="0.25">
      <c r="A40" s="50" t="s">
        <v>29</v>
      </c>
      <c r="B40" s="88">
        <v>42200.959999999999</v>
      </c>
      <c r="C40" s="65"/>
      <c r="D40" s="46"/>
    </row>
    <row r="41" spans="1:4" s="30" customFormat="1" ht="13.5" customHeight="1" thickBot="1" x14ac:dyDescent="0.3">
      <c r="A41" s="53" t="s">
        <v>30</v>
      </c>
      <c r="B41" s="49"/>
      <c r="C41" s="78">
        <f>SUM(B44)-(B45)</f>
        <v>-62951.199999999997</v>
      </c>
      <c r="D41" s="46"/>
    </row>
    <row r="42" spans="1:4" s="30" customFormat="1" ht="13.5" customHeight="1" x14ac:dyDescent="0.25">
      <c r="A42" s="50" t="s">
        <v>31</v>
      </c>
      <c r="B42" s="34">
        <v>21470</v>
      </c>
      <c r="C42" s="51"/>
      <c r="D42" s="46"/>
    </row>
    <row r="43" spans="1:4" s="30" customFormat="1" ht="13.5" customHeight="1" x14ac:dyDescent="0.25">
      <c r="A43" s="50" t="s">
        <v>32</v>
      </c>
      <c r="B43" s="34">
        <v>42220.24</v>
      </c>
      <c r="C43" s="49"/>
      <c r="D43" s="46"/>
    </row>
    <row r="44" spans="1:4" s="30" customFormat="1" ht="13.5" customHeight="1" x14ac:dyDescent="0.25">
      <c r="A44" s="50" t="s">
        <v>33</v>
      </c>
      <c r="B44" s="86">
        <f>(B42)-(B43)</f>
        <v>-20750.239999999998</v>
      </c>
      <c r="C44" s="49"/>
      <c r="D44" s="46"/>
    </row>
    <row r="45" spans="1:4" s="30" customFormat="1" ht="13.5" customHeight="1" thickBot="1" x14ac:dyDescent="0.3">
      <c r="A45" s="50" t="s">
        <v>137</v>
      </c>
      <c r="B45" s="87">
        <v>42200.959999999999</v>
      </c>
      <c r="C45" s="52"/>
      <c r="D45" s="46"/>
    </row>
    <row r="46" spans="1:4" s="30" customFormat="1" ht="13.5" customHeight="1" thickBot="1" x14ac:dyDescent="0.3">
      <c r="A46" s="53" t="s">
        <v>34</v>
      </c>
      <c r="B46" s="49"/>
      <c r="C46" s="78">
        <f>SUM(B49)-(B50)</f>
        <v>6635.49</v>
      </c>
      <c r="D46" s="46"/>
    </row>
    <row r="47" spans="1:4" s="30" customFormat="1" ht="13.5" customHeight="1" x14ac:dyDescent="0.25">
      <c r="A47" s="50" t="s">
        <v>35</v>
      </c>
      <c r="B47" s="34">
        <v>8588</v>
      </c>
      <c r="C47" s="51"/>
      <c r="D47" s="46"/>
    </row>
    <row r="48" spans="1:4" s="30" customFormat="1" ht="13.5" customHeight="1" x14ac:dyDescent="0.25">
      <c r="A48" s="50" t="s">
        <v>36</v>
      </c>
      <c r="B48" s="34">
        <v>952.51</v>
      </c>
      <c r="C48" s="49"/>
      <c r="D48" s="46"/>
    </row>
    <row r="49" spans="1:4" s="30" customFormat="1" ht="13.5" customHeight="1" x14ac:dyDescent="0.25">
      <c r="A49" s="50" t="s">
        <v>37</v>
      </c>
      <c r="B49" s="86">
        <f>(B47)-(B48)</f>
        <v>7635.49</v>
      </c>
      <c r="C49" s="49"/>
      <c r="D49" s="46"/>
    </row>
    <row r="50" spans="1:4" s="30" customFormat="1" ht="13.5" customHeight="1" thickBot="1" x14ac:dyDescent="0.3">
      <c r="A50" s="50" t="s">
        <v>38</v>
      </c>
      <c r="B50" s="35">
        <v>1000</v>
      </c>
      <c r="C50" s="52"/>
      <c r="D50" s="46"/>
    </row>
    <row r="51" spans="1:4" s="30" customFormat="1" ht="7.5" customHeight="1" thickBot="1" x14ac:dyDescent="0.3">
      <c r="A51" s="54"/>
      <c r="B51" s="66"/>
      <c r="C51" s="66"/>
      <c r="D51" s="46"/>
    </row>
    <row r="52" spans="1:4" s="30" customFormat="1" ht="15.75" customHeight="1" thickBot="1" x14ac:dyDescent="0.3">
      <c r="A52" s="136" t="s">
        <v>9</v>
      </c>
      <c r="B52" s="137"/>
      <c r="C52" s="95">
        <f>SUM(B53)+(B54)+(B55)</f>
        <v>-1210968.0900000001</v>
      </c>
      <c r="D52" s="46"/>
    </row>
    <row r="53" spans="1:4" s="30" customFormat="1" ht="13.5" customHeight="1" x14ac:dyDescent="0.25">
      <c r="A53" s="96" t="s">
        <v>130</v>
      </c>
      <c r="B53" s="102">
        <f>C8</f>
        <v>-1299214.51</v>
      </c>
      <c r="C53" s="99"/>
      <c r="D53" s="46"/>
    </row>
    <row r="54" spans="1:4" s="30" customFormat="1" ht="13.5" customHeight="1" x14ac:dyDescent="0.25">
      <c r="A54" s="97" t="s">
        <v>50</v>
      </c>
      <c r="B54" s="80">
        <f>C25</f>
        <v>88246.420000000013</v>
      </c>
      <c r="C54" s="100"/>
      <c r="D54" s="46"/>
    </row>
    <row r="55" spans="1:4" s="30" customFormat="1" ht="13.5" customHeight="1" thickBot="1" x14ac:dyDescent="0.3">
      <c r="A55" s="98" t="s">
        <v>138</v>
      </c>
      <c r="B55" s="81"/>
      <c r="C55" s="101"/>
      <c r="D55" s="46"/>
    </row>
    <row r="56" spans="1:4" s="30" customFormat="1" ht="7.5" customHeight="1" thickBot="1" x14ac:dyDescent="0.3">
      <c r="A56" s="66"/>
      <c r="B56" s="66"/>
      <c r="C56" s="66"/>
      <c r="D56" s="46"/>
    </row>
    <row r="57" spans="1:4" s="30" customFormat="1" ht="15.75" customHeight="1" thickBot="1" x14ac:dyDescent="0.3">
      <c r="A57" s="136" t="s">
        <v>39</v>
      </c>
      <c r="B57" s="138"/>
      <c r="C57" s="137"/>
      <c r="D57" s="56"/>
    </row>
    <row r="58" spans="1:4" s="26" customFormat="1" ht="13.5" customHeight="1" thickBot="1" x14ac:dyDescent="0.3">
      <c r="A58" s="67" t="s">
        <v>51</v>
      </c>
      <c r="B58" s="68"/>
      <c r="C58" s="78">
        <f>(C6)-(C18)</f>
        <v>1805000</v>
      </c>
      <c r="D58" s="82">
        <f>SUM(D6)-(D18)</f>
        <v>0.95</v>
      </c>
    </row>
    <row r="59" spans="1:4" s="26" customFormat="1" ht="13.5" customHeight="1" x14ac:dyDescent="0.25">
      <c r="A59" s="69" t="s">
        <v>40</v>
      </c>
      <c r="B59" s="68"/>
      <c r="C59" s="27">
        <v>0</v>
      </c>
      <c r="D59" s="70"/>
    </row>
    <row r="60" spans="1:4" s="26" customFormat="1" ht="13.5" customHeight="1" x14ac:dyDescent="0.25">
      <c r="A60" s="69" t="s">
        <v>41</v>
      </c>
      <c r="B60" s="68"/>
      <c r="C60" s="28">
        <v>0</v>
      </c>
      <c r="D60" s="71"/>
    </row>
    <row r="61" spans="1:4" s="26" customFormat="1" ht="13.5" customHeight="1" x14ac:dyDescent="0.25">
      <c r="A61" s="69" t="s">
        <v>42</v>
      </c>
      <c r="B61" s="68"/>
      <c r="C61" s="89">
        <v>0</v>
      </c>
      <c r="D61" s="71"/>
    </row>
    <row r="62" spans="1:4" s="26" customFormat="1" ht="13.5" customHeight="1" thickBot="1" x14ac:dyDescent="0.3">
      <c r="A62" s="69" t="s">
        <v>43</v>
      </c>
      <c r="B62" s="68"/>
      <c r="C62" s="78">
        <f>B63</f>
        <v>0</v>
      </c>
      <c r="D62" s="71"/>
    </row>
    <row r="63" spans="1:4" s="26" customFormat="1" ht="13.5" customHeight="1" x14ac:dyDescent="0.25">
      <c r="A63" s="72" t="s">
        <v>127</v>
      </c>
      <c r="B63" s="29">
        <v>0</v>
      </c>
      <c r="C63" s="68"/>
      <c r="D63" s="71"/>
    </row>
    <row r="64" spans="1:4" s="26" customFormat="1" ht="13.5" customHeight="1" thickBot="1" x14ac:dyDescent="0.3">
      <c r="A64" s="69" t="s">
        <v>132</v>
      </c>
      <c r="B64" s="73"/>
      <c r="C64" s="74">
        <f>B65+B66+B67</f>
        <v>68930.27</v>
      </c>
      <c r="D64" s="71"/>
    </row>
    <row r="65" spans="1:4" s="26" customFormat="1" ht="13.5" customHeight="1" x14ac:dyDescent="0.25">
      <c r="A65" s="72" t="s">
        <v>128</v>
      </c>
      <c r="B65" s="83">
        <v>0</v>
      </c>
      <c r="C65" s="91"/>
      <c r="D65" s="71"/>
    </row>
    <row r="66" spans="1:4" s="26" customFormat="1" ht="13.5" customHeight="1" x14ac:dyDescent="0.25">
      <c r="A66" s="72" t="s">
        <v>129</v>
      </c>
      <c r="B66" s="83">
        <v>68930.27</v>
      </c>
      <c r="C66" s="92"/>
      <c r="D66" s="71"/>
    </row>
    <row r="67" spans="1:4" s="26" customFormat="1" ht="13.5" customHeight="1" x14ac:dyDescent="0.25">
      <c r="A67" s="72" t="s">
        <v>131</v>
      </c>
      <c r="B67" s="83">
        <v>0</v>
      </c>
      <c r="C67" s="92"/>
      <c r="D67" s="71"/>
    </row>
    <row r="68" spans="1:4" s="26" customFormat="1" ht="13.5" customHeight="1" thickBot="1" x14ac:dyDescent="0.3">
      <c r="A68" s="69" t="s">
        <v>44</v>
      </c>
      <c r="B68" s="73"/>
      <c r="C68" s="79">
        <f>(B69)+(B70)</f>
        <v>1336324.25</v>
      </c>
      <c r="D68" s="71"/>
    </row>
    <row r="69" spans="1:4" s="26" customFormat="1" ht="23.25" customHeight="1" x14ac:dyDescent="0.25">
      <c r="A69" s="72" t="s">
        <v>45</v>
      </c>
      <c r="B69" s="29">
        <v>2742710.79</v>
      </c>
      <c r="C69" s="73"/>
      <c r="D69" s="71"/>
    </row>
    <row r="70" spans="1:4" s="26" customFormat="1" ht="36.75" thickBot="1" x14ac:dyDescent="0.3">
      <c r="A70" s="75" t="s">
        <v>139</v>
      </c>
      <c r="B70" s="74">
        <v>-1406386.54</v>
      </c>
      <c r="C70" s="77"/>
      <c r="D70" s="71"/>
    </row>
    <row r="71" spans="1:4" s="26" customFormat="1" ht="13.5" customHeight="1" x14ac:dyDescent="0.25">
      <c r="A71" s="69" t="s">
        <v>133</v>
      </c>
      <c r="B71" s="68"/>
      <c r="C71" s="90"/>
      <c r="D71" s="71"/>
    </row>
    <row r="72" spans="1:4" s="26" customFormat="1" ht="13.5" customHeight="1" thickBot="1" x14ac:dyDescent="0.3">
      <c r="A72" s="76" t="s">
        <v>52</v>
      </c>
      <c r="B72" s="77"/>
      <c r="C72" s="78">
        <f>C52</f>
        <v>-1210968.0900000001</v>
      </c>
      <c r="D72" s="71"/>
    </row>
    <row r="73" spans="1:4" s="30" customFormat="1" ht="15.75" customHeight="1" thickBot="1" x14ac:dyDescent="0.3">
      <c r="A73" s="139" t="s">
        <v>3</v>
      </c>
      <c r="B73" s="140"/>
      <c r="C73" s="78">
        <f>SUM(C58)-(C59)-(C60)-(C61)-(C62)+(C64)+(C68)+(C71)+(C72)</f>
        <v>1999286.43</v>
      </c>
      <c r="D73" s="46"/>
    </row>
    <row r="74" spans="1:4" ht="9" customHeight="1" x14ac:dyDescent="0.2">
      <c r="A74" s="3"/>
      <c r="B74" s="4"/>
      <c r="C74" s="4"/>
    </row>
  </sheetData>
  <sheetProtection formatCells="0" formatColumns="0" formatRows="0" insertColumns="0" insertRows="0" insertHyperlinks="0" deleteColumns="0" deleteRows="0"/>
  <mergeCells count="9">
    <mergeCell ref="A52:B52"/>
    <mergeCell ref="A17:C17"/>
    <mergeCell ref="A73:B73"/>
    <mergeCell ref="A57:C57"/>
    <mergeCell ref="A1:D1"/>
    <mergeCell ref="A2:D2"/>
    <mergeCell ref="A3:D3"/>
    <mergeCell ref="A8:B8"/>
    <mergeCell ref="A25:B25"/>
  </mergeCells>
  <pageMargins left="0.78740157480314965" right="0.23622047244094491" top="0.19685039370078741" bottom="0.19685039370078741" header="0.31496062992125984" footer="0.31496062992125984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2"/>
  <sheetViews>
    <sheetView showWhiteSpace="0" zoomScaleNormal="100" workbookViewId="0">
      <selection sqref="A1:C51"/>
    </sheetView>
  </sheetViews>
  <sheetFormatPr defaultRowHeight="15" x14ac:dyDescent="0.25"/>
  <cols>
    <col min="1" max="1" width="58.42578125" style="15" bestFit="1" customWidth="1"/>
    <col min="2" max="2" width="15.7109375" style="15" bestFit="1" customWidth="1"/>
    <col min="3" max="3" width="8.85546875" style="15" customWidth="1"/>
    <col min="4" max="16384" width="9.140625" style="15"/>
  </cols>
  <sheetData>
    <row r="1" spans="1:3" x14ac:dyDescent="0.25">
      <c r="A1" s="143" t="s">
        <v>179</v>
      </c>
      <c r="B1" s="143"/>
      <c r="C1" s="143"/>
    </row>
    <row r="2" spans="1:3" x14ac:dyDescent="0.25">
      <c r="A2" s="143" t="s">
        <v>180</v>
      </c>
      <c r="B2" s="143"/>
      <c r="C2" s="143"/>
    </row>
    <row r="3" spans="1:3" x14ac:dyDescent="0.25">
      <c r="A3" s="143" t="s">
        <v>46</v>
      </c>
      <c r="B3" s="143"/>
      <c r="C3" s="143"/>
    </row>
    <row r="4" spans="1:3" ht="3" customHeight="1" x14ac:dyDescent="0.25">
      <c r="A4" s="10"/>
      <c r="B4" s="10"/>
      <c r="C4" s="10"/>
    </row>
    <row r="5" spans="1:3" ht="4.5" customHeight="1" thickBot="1" x14ac:dyDescent="0.3">
      <c r="A5" s="10"/>
      <c r="B5" s="10"/>
      <c r="C5" s="117"/>
    </row>
    <row r="6" spans="1:3" ht="15.75" thickBot="1" x14ac:dyDescent="0.3">
      <c r="A6" s="16" t="s">
        <v>83</v>
      </c>
      <c r="B6" s="17" t="s">
        <v>84</v>
      </c>
      <c r="C6" s="18" t="s">
        <v>0</v>
      </c>
    </row>
    <row r="7" spans="1:3" x14ac:dyDescent="0.25">
      <c r="A7" s="19" t="s">
        <v>85</v>
      </c>
      <c r="B7" s="20"/>
      <c r="C7" s="21"/>
    </row>
    <row r="8" spans="1:3" x14ac:dyDescent="0.25">
      <c r="A8" s="22" t="s">
        <v>86</v>
      </c>
      <c r="B8" s="118">
        <f>B51*C8</f>
        <v>12350</v>
      </c>
      <c r="C8" s="119">
        <v>0.13</v>
      </c>
    </row>
    <row r="9" spans="1:3" x14ac:dyDescent="0.25">
      <c r="A9" s="22" t="s">
        <v>124</v>
      </c>
      <c r="B9" s="118">
        <f>B51*C9</f>
        <v>7600</v>
      </c>
      <c r="C9" s="119">
        <v>0.08</v>
      </c>
    </row>
    <row r="10" spans="1:3" x14ac:dyDescent="0.25">
      <c r="A10" s="22" t="s">
        <v>125</v>
      </c>
      <c r="B10" s="118">
        <f>B51*C10</f>
        <v>6650.0000000000009</v>
      </c>
      <c r="C10" s="119">
        <v>7.0000000000000007E-2</v>
      </c>
    </row>
    <row r="11" spans="1:3" x14ac:dyDescent="0.25">
      <c r="A11" s="23" t="s">
        <v>1</v>
      </c>
      <c r="B11" s="120">
        <f>SUM(B8:B10)</f>
        <v>26600</v>
      </c>
      <c r="C11" s="121">
        <f>SUM(C8:C10)</f>
        <v>0.28000000000000003</v>
      </c>
    </row>
    <row r="12" spans="1:3" x14ac:dyDescent="0.25">
      <c r="A12" s="24" t="s">
        <v>87</v>
      </c>
      <c r="B12" s="120"/>
      <c r="C12" s="122"/>
    </row>
    <row r="13" spans="1:3" x14ac:dyDescent="0.25">
      <c r="A13" s="23" t="s">
        <v>88</v>
      </c>
      <c r="B13" s="118"/>
      <c r="C13" s="123"/>
    </row>
    <row r="14" spans="1:3" x14ac:dyDescent="0.25">
      <c r="A14" s="22" t="s">
        <v>89</v>
      </c>
      <c r="B14" s="124">
        <f t="shared" ref="B14:B19" si="0">$B$51*C14</f>
        <v>5700</v>
      </c>
      <c r="C14" s="119">
        <v>0.06</v>
      </c>
    </row>
    <row r="15" spans="1:3" x14ac:dyDescent="0.25">
      <c r="A15" s="22" t="s">
        <v>90</v>
      </c>
      <c r="B15" s="124">
        <f t="shared" si="0"/>
        <v>9500</v>
      </c>
      <c r="C15" s="119">
        <v>0.1</v>
      </c>
    </row>
    <row r="16" spans="1:3" x14ac:dyDescent="0.25">
      <c r="A16" s="22" t="s">
        <v>91</v>
      </c>
      <c r="B16" s="124">
        <f t="shared" si="0"/>
        <v>9500</v>
      </c>
      <c r="C16" s="119">
        <v>0.1</v>
      </c>
    </row>
    <row r="17" spans="1:3" x14ac:dyDescent="0.25">
      <c r="A17" s="22" t="s">
        <v>92</v>
      </c>
      <c r="B17" s="124">
        <f t="shared" si="0"/>
        <v>7600</v>
      </c>
      <c r="C17" s="119">
        <v>0.08</v>
      </c>
    </row>
    <row r="18" spans="1:3" x14ac:dyDescent="0.25">
      <c r="A18" s="22" t="s">
        <v>93</v>
      </c>
      <c r="B18" s="124">
        <f t="shared" si="0"/>
        <v>6650.0000000000009</v>
      </c>
      <c r="C18" s="119">
        <v>7.0000000000000007E-2</v>
      </c>
    </row>
    <row r="19" spans="1:3" x14ac:dyDescent="0.25">
      <c r="A19" s="22" t="s">
        <v>94</v>
      </c>
      <c r="B19" s="124">
        <f t="shared" si="0"/>
        <v>8550</v>
      </c>
      <c r="C19" s="119">
        <v>0.09</v>
      </c>
    </row>
    <row r="20" spans="1:3" x14ac:dyDescent="0.25">
      <c r="A20" s="23" t="s">
        <v>1</v>
      </c>
      <c r="B20" s="124">
        <f>SUM(B14:B19)</f>
        <v>47500</v>
      </c>
      <c r="C20" s="119">
        <f>SUM(C14:C19)</f>
        <v>0.5</v>
      </c>
    </row>
    <row r="21" spans="1:3" x14ac:dyDescent="0.25">
      <c r="A21" s="23" t="s">
        <v>95</v>
      </c>
      <c r="B21" s="118"/>
      <c r="C21" s="123"/>
    </row>
    <row r="22" spans="1:3" x14ac:dyDescent="0.25">
      <c r="A22" s="22" t="s">
        <v>96</v>
      </c>
      <c r="B22" s="124">
        <f>$B$51*C22</f>
        <v>0</v>
      </c>
      <c r="C22" s="119">
        <v>0</v>
      </c>
    </row>
    <row r="23" spans="1:3" x14ac:dyDescent="0.25">
      <c r="A23" s="22" t="s">
        <v>97</v>
      </c>
      <c r="B23" s="124">
        <f>$B$51*C23</f>
        <v>0</v>
      </c>
      <c r="C23" s="119">
        <v>0</v>
      </c>
    </row>
    <row r="24" spans="1:3" x14ac:dyDescent="0.25">
      <c r="A24" s="22" t="s">
        <v>98</v>
      </c>
      <c r="B24" s="124">
        <f>$B$51*C24</f>
        <v>0</v>
      </c>
      <c r="C24" s="119">
        <v>0</v>
      </c>
    </row>
    <row r="25" spans="1:3" x14ac:dyDescent="0.25">
      <c r="A25" s="22" t="s">
        <v>99</v>
      </c>
      <c r="B25" s="124">
        <f>$B$51*C25</f>
        <v>0</v>
      </c>
      <c r="C25" s="119">
        <v>0</v>
      </c>
    </row>
    <row r="26" spans="1:3" x14ac:dyDescent="0.25">
      <c r="A26" s="22" t="s">
        <v>100</v>
      </c>
      <c r="B26" s="124">
        <f>$B$51*C26</f>
        <v>0</v>
      </c>
      <c r="C26" s="119">
        <v>0</v>
      </c>
    </row>
    <row r="27" spans="1:3" x14ac:dyDescent="0.25">
      <c r="A27" s="23" t="s">
        <v>1</v>
      </c>
      <c r="B27" s="124">
        <f>SUM(B22:B26)</f>
        <v>0</v>
      </c>
      <c r="C27" s="119">
        <f>SUM(C22:C26)</f>
        <v>0</v>
      </c>
    </row>
    <row r="28" spans="1:3" x14ac:dyDescent="0.25">
      <c r="A28" s="24" t="s">
        <v>101</v>
      </c>
      <c r="B28" s="118"/>
      <c r="C28" s="123"/>
    </row>
    <row r="29" spans="1:3" x14ac:dyDescent="0.25">
      <c r="A29" s="22" t="s">
        <v>102</v>
      </c>
      <c r="B29" s="124">
        <f>$B$51*C29</f>
        <v>2850</v>
      </c>
      <c r="C29" s="119">
        <v>0.03</v>
      </c>
    </row>
    <row r="30" spans="1:3" x14ac:dyDescent="0.25">
      <c r="A30" s="22" t="s">
        <v>103</v>
      </c>
      <c r="B30" s="124">
        <f>$B$51*C30</f>
        <v>7600</v>
      </c>
      <c r="C30" s="119">
        <v>0.08</v>
      </c>
    </row>
    <row r="31" spans="1:3" x14ac:dyDescent="0.25">
      <c r="A31" s="22" t="s">
        <v>104</v>
      </c>
      <c r="B31" s="124">
        <f>$B$51*C31</f>
        <v>10450</v>
      </c>
      <c r="C31" s="119">
        <v>0.11</v>
      </c>
    </row>
    <row r="32" spans="1:3" x14ac:dyDescent="0.25">
      <c r="A32" s="23" t="s">
        <v>1</v>
      </c>
      <c r="B32" s="124">
        <f>SUM(B29:B31)</f>
        <v>20900</v>
      </c>
      <c r="C32" s="119">
        <f>SUM(C29:C31)</f>
        <v>0.22</v>
      </c>
    </row>
    <row r="33" spans="1:3" x14ac:dyDescent="0.25">
      <c r="A33" s="24" t="s">
        <v>105</v>
      </c>
      <c r="B33" s="124"/>
      <c r="C33" s="123"/>
    </row>
    <row r="34" spans="1:3" x14ac:dyDescent="0.25">
      <c r="A34" s="22" t="s">
        <v>106</v>
      </c>
      <c r="B34" s="124">
        <f>$B$51*C34</f>
        <v>0</v>
      </c>
      <c r="C34" s="119">
        <v>0</v>
      </c>
    </row>
    <row r="35" spans="1:3" x14ac:dyDescent="0.25">
      <c r="A35" s="22" t="s">
        <v>107</v>
      </c>
      <c r="B35" s="124">
        <f t="shared" ref="B35:B49" si="1">$B$51*C35</f>
        <v>0</v>
      </c>
      <c r="C35" s="119">
        <v>0</v>
      </c>
    </row>
    <row r="36" spans="1:3" x14ac:dyDescent="0.25">
      <c r="A36" s="22" t="s">
        <v>108</v>
      </c>
      <c r="B36" s="124">
        <f t="shared" si="1"/>
        <v>0</v>
      </c>
      <c r="C36" s="119">
        <v>0</v>
      </c>
    </row>
    <row r="37" spans="1:3" x14ac:dyDescent="0.25">
      <c r="A37" s="22" t="s">
        <v>109</v>
      </c>
      <c r="B37" s="124">
        <f t="shared" si="1"/>
        <v>0</v>
      </c>
      <c r="C37" s="119">
        <v>0</v>
      </c>
    </row>
    <row r="38" spans="1:3" x14ac:dyDescent="0.25">
      <c r="A38" s="22" t="s">
        <v>110</v>
      </c>
      <c r="B38" s="124">
        <f t="shared" si="1"/>
        <v>0</v>
      </c>
      <c r="C38" s="119">
        <v>0</v>
      </c>
    </row>
    <row r="39" spans="1:3" x14ac:dyDescent="0.25">
      <c r="A39" s="22" t="s">
        <v>111</v>
      </c>
      <c r="B39" s="124">
        <f t="shared" si="1"/>
        <v>0</v>
      </c>
      <c r="C39" s="119">
        <v>0</v>
      </c>
    </row>
    <row r="40" spans="1:3" x14ac:dyDescent="0.25">
      <c r="A40" s="22" t="s">
        <v>112</v>
      </c>
      <c r="B40" s="124">
        <f t="shared" si="1"/>
        <v>0</v>
      </c>
      <c r="C40" s="119">
        <v>0</v>
      </c>
    </row>
    <row r="41" spans="1:3" x14ac:dyDescent="0.25">
      <c r="A41" s="22" t="s">
        <v>113</v>
      </c>
      <c r="B41" s="124">
        <f t="shared" si="1"/>
        <v>0</v>
      </c>
      <c r="C41" s="119">
        <v>0</v>
      </c>
    </row>
    <row r="42" spans="1:3" x14ac:dyDescent="0.25">
      <c r="A42" s="22" t="s">
        <v>114</v>
      </c>
      <c r="B42" s="124">
        <f t="shared" si="1"/>
        <v>0</v>
      </c>
      <c r="C42" s="119">
        <v>0</v>
      </c>
    </row>
    <row r="43" spans="1:3" x14ac:dyDescent="0.25">
      <c r="A43" s="22" t="s">
        <v>115</v>
      </c>
      <c r="B43" s="124">
        <f t="shared" si="1"/>
        <v>0</v>
      </c>
      <c r="C43" s="119">
        <v>0</v>
      </c>
    </row>
    <row r="44" spans="1:3" x14ac:dyDescent="0.25">
      <c r="A44" s="22" t="s">
        <v>116</v>
      </c>
      <c r="B44" s="124">
        <f t="shared" si="1"/>
        <v>0</v>
      </c>
      <c r="C44" s="119">
        <v>0</v>
      </c>
    </row>
    <row r="45" spans="1:3" x14ac:dyDescent="0.25">
      <c r="A45" s="22" t="s">
        <v>117</v>
      </c>
      <c r="B45" s="124">
        <f t="shared" si="1"/>
        <v>0</v>
      </c>
      <c r="C45" s="119">
        <v>0</v>
      </c>
    </row>
    <row r="46" spans="1:3" x14ac:dyDescent="0.25">
      <c r="A46" s="22" t="s">
        <v>118</v>
      </c>
      <c r="B46" s="124">
        <f t="shared" si="1"/>
        <v>0</v>
      </c>
      <c r="C46" s="119">
        <v>0</v>
      </c>
    </row>
    <row r="47" spans="1:3" x14ac:dyDescent="0.25">
      <c r="A47" s="22" t="s">
        <v>119</v>
      </c>
      <c r="B47" s="124">
        <f t="shared" si="1"/>
        <v>0</v>
      </c>
      <c r="C47" s="119">
        <v>0</v>
      </c>
    </row>
    <row r="48" spans="1:3" x14ac:dyDescent="0.25">
      <c r="A48" s="22" t="s">
        <v>120</v>
      </c>
      <c r="B48" s="124">
        <f t="shared" si="1"/>
        <v>0</v>
      </c>
      <c r="C48" s="119">
        <v>0</v>
      </c>
    </row>
    <row r="49" spans="1:3" x14ac:dyDescent="0.25">
      <c r="A49" s="22" t="s">
        <v>121</v>
      </c>
      <c r="B49" s="124">
        <f t="shared" si="1"/>
        <v>0</v>
      </c>
      <c r="C49" s="119">
        <v>0</v>
      </c>
    </row>
    <row r="50" spans="1:3" ht="15.75" thickBot="1" x14ac:dyDescent="0.3">
      <c r="A50" s="23" t="s">
        <v>1</v>
      </c>
      <c r="B50" s="124">
        <f>B67*C50</f>
        <v>0</v>
      </c>
      <c r="C50" s="119">
        <f>SUM(C34:C49)</f>
        <v>0</v>
      </c>
    </row>
    <row r="51" spans="1:3" ht="15.75" thickBot="1" x14ac:dyDescent="0.3">
      <c r="A51" s="16" t="s">
        <v>122</v>
      </c>
      <c r="B51" s="125">
        <f>'Plano de Aplicação'!C18</f>
        <v>95000</v>
      </c>
      <c r="C51" s="126">
        <f>C50+C32+C27+C20+C11</f>
        <v>1</v>
      </c>
    </row>
    <row r="52" spans="1:3" x14ac:dyDescent="0.25">
      <c r="A52" s="25"/>
      <c r="B52" s="127">
        <f>B50+B32+B27+B20+B11</f>
        <v>95000</v>
      </c>
      <c r="C52" s="128"/>
    </row>
  </sheetData>
  <mergeCells count="3">
    <mergeCell ref="A1:C1"/>
    <mergeCell ref="A2:C2"/>
    <mergeCell ref="A3:C3"/>
  </mergeCells>
  <pageMargins left="1.1811023622047245" right="0.23622047244094491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tabSelected="1" zoomScaleNormal="100" workbookViewId="0">
      <selection activeCell="C13" sqref="C13"/>
    </sheetView>
  </sheetViews>
  <sheetFormatPr defaultRowHeight="15" x14ac:dyDescent="0.25"/>
  <cols>
    <col min="1" max="1" width="22.85546875" customWidth="1"/>
    <col min="2" max="2" width="9.7109375" customWidth="1"/>
    <col min="3" max="3" width="13.42578125" customWidth="1"/>
    <col min="4" max="5" width="10.7109375" customWidth="1"/>
    <col min="6" max="11" width="17.7109375" customWidth="1"/>
  </cols>
  <sheetData>
    <row r="1" spans="1:11" x14ac:dyDescent="0.25">
      <c r="A1" s="143" t="s">
        <v>181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x14ac:dyDescent="0.25">
      <c r="A2" s="145" t="s">
        <v>53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15" customHeight="1" x14ac:dyDescent="0.25">
      <c r="A3" s="143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ht="15" customHeight="1" thickBo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5" customHeight="1" x14ac:dyDescent="0.25">
      <c r="A5" s="149" t="s">
        <v>54</v>
      </c>
      <c r="B5" s="150"/>
      <c r="C5" s="150"/>
      <c r="D5" s="150"/>
      <c r="E5" s="150"/>
      <c r="F5" s="150"/>
      <c r="G5" s="150"/>
      <c r="H5" s="150"/>
      <c r="I5" s="150"/>
      <c r="J5" s="150"/>
      <c r="K5" s="151"/>
    </row>
    <row r="6" spans="1:11" ht="21.75" customHeight="1" x14ac:dyDescent="0.25">
      <c r="A6" s="104" t="s">
        <v>55</v>
      </c>
      <c r="B6" s="146" t="s">
        <v>56</v>
      </c>
      <c r="C6" s="146"/>
      <c r="D6" s="146"/>
      <c r="E6" s="146"/>
      <c r="F6" s="146" t="s">
        <v>58</v>
      </c>
      <c r="G6" s="146"/>
      <c r="H6" s="146" t="s">
        <v>57</v>
      </c>
      <c r="I6" s="146"/>
      <c r="J6" s="146"/>
      <c r="K6" s="113" t="s">
        <v>58</v>
      </c>
    </row>
    <row r="7" spans="1:11" x14ac:dyDescent="0.25">
      <c r="A7" s="105" t="s">
        <v>59</v>
      </c>
      <c r="B7" s="144" t="s">
        <v>60</v>
      </c>
      <c r="C7" s="144"/>
      <c r="D7" s="144"/>
      <c r="E7" s="144"/>
      <c r="F7" s="144" t="s">
        <v>60</v>
      </c>
      <c r="G7" s="144"/>
      <c r="H7" s="144" t="s">
        <v>61</v>
      </c>
      <c r="I7" s="144"/>
      <c r="J7" s="144"/>
      <c r="K7" s="114" t="s">
        <v>62</v>
      </c>
    </row>
    <row r="8" spans="1:11" x14ac:dyDescent="0.25">
      <c r="A8" s="105" t="s">
        <v>63</v>
      </c>
      <c r="B8" s="144" t="s">
        <v>64</v>
      </c>
      <c r="C8" s="144"/>
      <c r="D8" s="144"/>
      <c r="E8" s="144"/>
      <c r="F8" s="144" t="s">
        <v>69</v>
      </c>
      <c r="G8" s="144"/>
      <c r="H8" s="144" t="s">
        <v>65</v>
      </c>
      <c r="I8" s="144"/>
      <c r="J8" s="144"/>
      <c r="K8" s="114" t="s">
        <v>62</v>
      </c>
    </row>
    <row r="9" spans="1:11" x14ac:dyDescent="0.25">
      <c r="A9" s="105" t="s">
        <v>66</v>
      </c>
      <c r="B9" s="144" t="s">
        <v>60</v>
      </c>
      <c r="C9" s="144"/>
      <c r="D9" s="144"/>
      <c r="E9" s="144"/>
      <c r="F9" s="144" t="s">
        <v>60</v>
      </c>
      <c r="G9" s="144"/>
      <c r="H9" s="144" t="s">
        <v>65</v>
      </c>
      <c r="I9" s="144"/>
      <c r="J9" s="144"/>
      <c r="K9" s="114" t="s">
        <v>62</v>
      </c>
    </row>
    <row r="10" spans="1:11" x14ac:dyDescent="0.25">
      <c r="A10" s="106" t="s">
        <v>67</v>
      </c>
      <c r="B10" s="144" t="s">
        <v>68</v>
      </c>
      <c r="C10" s="144"/>
      <c r="D10" s="144"/>
      <c r="E10" s="144"/>
      <c r="F10" s="144" t="s">
        <v>69</v>
      </c>
      <c r="G10" s="144"/>
      <c r="H10" s="144" t="s">
        <v>68</v>
      </c>
      <c r="I10" s="144"/>
      <c r="J10" s="144"/>
      <c r="K10" s="114" t="s">
        <v>69</v>
      </c>
    </row>
    <row r="11" spans="1:11" ht="15.75" thickBot="1" x14ac:dyDescent="0.3">
      <c r="A11" s="107" t="s">
        <v>70</v>
      </c>
      <c r="B11" s="152" t="s">
        <v>136</v>
      </c>
      <c r="C11" s="152"/>
      <c r="D11" s="152"/>
      <c r="E11" s="152"/>
      <c r="F11" s="152" t="s">
        <v>69</v>
      </c>
      <c r="G11" s="152"/>
      <c r="H11" s="152" t="s">
        <v>60</v>
      </c>
      <c r="I11" s="152"/>
      <c r="J11" s="152"/>
      <c r="K11" s="115" t="s">
        <v>60</v>
      </c>
    </row>
    <row r="12" spans="1:1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.25" customHeight="1" x14ac:dyDescent="0.25"/>
    <row r="14" spans="1:11" ht="11.25" customHeight="1" thickBot="1" x14ac:dyDescent="0.3"/>
    <row r="15" spans="1:11" ht="37.5" customHeight="1" x14ac:dyDescent="0.25">
      <c r="A15" s="108" t="s">
        <v>71</v>
      </c>
      <c r="B15" s="109" t="s">
        <v>72</v>
      </c>
      <c r="C15" s="109" t="s">
        <v>73</v>
      </c>
      <c r="D15" s="109" t="s">
        <v>74</v>
      </c>
      <c r="E15" s="109" t="s">
        <v>75</v>
      </c>
      <c r="F15" s="109" t="s">
        <v>76</v>
      </c>
      <c r="G15" s="109" t="s">
        <v>77</v>
      </c>
      <c r="H15" s="109" t="s">
        <v>78</v>
      </c>
      <c r="I15" s="109" t="s">
        <v>79</v>
      </c>
      <c r="J15" s="109" t="s">
        <v>80</v>
      </c>
      <c r="K15" s="110" t="s">
        <v>81</v>
      </c>
    </row>
    <row r="16" spans="1:11" ht="11.25" customHeight="1" x14ac:dyDescent="0.25">
      <c r="A16" s="111" t="s">
        <v>157</v>
      </c>
      <c r="B16" s="11" t="s">
        <v>158</v>
      </c>
      <c r="C16" s="11" t="s">
        <v>66</v>
      </c>
      <c r="D16" s="12">
        <v>44211</v>
      </c>
      <c r="E16" s="11"/>
      <c r="F16" s="13"/>
      <c r="G16" s="13">
        <v>200556.05</v>
      </c>
      <c r="H16" s="14"/>
      <c r="I16" s="13"/>
      <c r="J16" s="129"/>
      <c r="K16" s="130" t="s">
        <v>60</v>
      </c>
    </row>
    <row r="17" spans="1:11" ht="11.25" customHeight="1" x14ac:dyDescent="0.25">
      <c r="A17" s="111" t="s">
        <v>159</v>
      </c>
      <c r="B17" s="11" t="s">
        <v>160</v>
      </c>
      <c r="C17" s="11" t="s">
        <v>66</v>
      </c>
      <c r="D17" s="12">
        <v>44218</v>
      </c>
      <c r="E17" s="11"/>
      <c r="F17" s="13"/>
      <c r="G17" s="13">
        <v>269916.59000000003</v>
      </c>
      <c r="H17" s="14"/>
      <c r="I17" s="13"/>
      <c r="J17" s="129"/>
      <c r="K17" s="130" t="s">
        <v>60</v>
      </c>
    </row>
    <row r="18" spans="1:11" ht="11.25" customHeight="1" x14ac:dyDescent="0.25">
      <c r="A18" s="111" t="s">
        <v>161</v>
      </c>
      <c r="B18" s="11" t="s">
        <v>162</v>
      </c>
      <c r="C18" s="11" t="s">
        <v>82</v>
      </c>
      <c r="D18" s="12">
        <v>44238</v>
      </c>
      <c r="E18" s="11"/>
      <c r="F18" s="13"/>
      <c r="G18" s="13">
        <v>269916.59000000003</v>
      </c>
      <c r="H18" s="14"/>
      <c r="I18" s="13"/>
      <c r="J18" s="129"/>
      <c r="K18" s="130" t="s">
        <v>60</v>
      </c>
    </row>
    <row r="19" spans="1:11" ht="11.25" customHeight="1" x14ac:dyDescent="0.25">
      <c r="A19" s="111" t="s">
        <v>163</v>
      </c>
      <c r="B19" s="11" t="s">
        <v>164</v>
      </c>
      <c r="C19" s="11" t="s">
        <v>70</v>
      </c>
      <c r="D19" s="12">
        <v>44272</v>
      </c>
      <c r="E19" s="11"/>
      <c r="F19" s="13"/>
      <c r="G19" s="13">
        <v>269916.59000000003</v>
      </c>
      <c r="H19" s="14"/>
      <c r="I19" s="13"/>
      <c r="J19" s="129">
        <f>G19</f>
        <v>269916.59000000003</v>
      </c>
      <c r="K19" s="130" t="s">
        <v>60</v>
      </c>
    </row>
    <row r="20" spans="1:11" ht="11.25" customHeight="1" x14ac:dyDescent="0.25">
      <c r="A20" s="111" t="s">
        <v>165</v>
      </c>
      <c r="B20" s="11" t="s">
        <v>166</v>
      </c>
      <c r="C20" s="11" t="s">
        <v>66</v>
      </c>
      <c r="D20" s="12">
        <v>44188</v>
      </c>
      <c r="E20" s="11"/>
      <c r="F20" s="13"/>
      <c r="G20" s="13">
        <v>269916.59000000003</v>
      </c>
      <c r="H20" s="14"/>
      <c r="I20" s="13"/>
      <c r="J20" s="129"/>
      <c r="K20" s="130" t="s">
        <v>60</v>
      </c>
    </row>
    <row r="21" spans="1:11" ht="11.25" customHeight="1" x14ac:dyDescent="0.25">
      <c r="A21" s="111" t="s">
        <v>167</v>
      </c>
      <c r="B21" s="11" t="s">
        <v>168</v>
      </c>
      <c r="C21" s="11" t="s">
        <v>66</v>
      </c>
      <c r="D21" s="12">
        <v>44273</v>
      </c>
      <c r="E21" s="11"/>
      <c r="F21" s="13"/>
      <c r="G21" s="13">
        <v>449860.99</v>
      </c>
      <c r="H21" s="14"/>
      <c r="I21" s="14"/>
      <c r="J21" s="13"/>
      <c r="K21" s="112" t="s">
        <v>60</v>
      </c>
    </row>
    <row r="22" spans="1:11" ht="11.25" customHeight="1" x14ac:dyDescent="0.25">
      <c r="A22" s="111" t="s">
        <v>169</v>
      </c>
      <c r="B22" s="11" t="s">
        <v>170</v>
      </c>
      <c r="C22" s="11" t="s">
        <v>66</v>
      </c>
      <c r="D22" s="12">
        <v>44208</v>
      </c>
      <c r="E22" s="11"/>
      <c r="F22" s="13"/>
      <c r="G22" s="13">
        <v>179944.39</v>
      </c>
      <c r="H22" s="14"/>
      <c r="I22" s="14"/>
      <c r="J22" s="13"/>
      <c r="K22" s="112" t="s">
        <v>60</v>
      </c>
    </row>
    <row r="23" spans="1:11" ht="13.5" customHeight="1" x14ac:dyDescent="0.25">
      <c r="A23" s="111" t="s">
        <v>142</v>
      </c>
      <c r="B23" s="11" t="s">
        <v>143</v>
      </c>
      <c r="C23" s="11" t="s">
        <v>175</v>
      </c>
      <c r="D23" s="12">
        <v>44482</v>
      </c>
      <c r="E23" s="11"/>
      <c r="F23" s="13"/>
      <c r="G23" s="13">
        <v>213536</v>
      </c>
      <c r="H23" s="14"/>
      <c r="I23" s="13"/>
      <c r="J23" s="129"/>
      <c r="K23" s="131" t="s">
        <v>60</v>
      </c>
    </row>
    <row r="24" spans="1:11" ht="18.75" customHeight="1" x14ac:dyDescent="0.25">
      <c r="A24" s="111" t="s">
        <v>144</v>
      </c>
      <c r="B24" s="11" t="s">
        <v>145</v>
      </c>
      <c r="C24" s="11" t="s">
        <v>175</v>
      </c>
      <c r="D24" s="12">
        <v>44482</v>
      </c>
      <c r="E24" s="11"/>
      <c r="F24" s="13"/>
      <c r="G24" s="13">
        <v>207097.4</v>
      </c>
      <c r="H24" s="14"/>
      <c r="I24" s="13"/>
      <c r="J24" s="129"/>
      <c r="K24" s="131" t="s">
        <v>60</v>
      </c>
    </row>
    <row r="25" spans="1:11" ht="20.25" customHeight="1" x14ac:dyDescent="0.25">
      <c r="A25" s="111" t="s">
        <v>146</v>
      </c>
      <c r="B25" s="11" t="s">
        <v>147</v>
      </c>
      <c r="C25" s="11" t="s">
        <v>66</v>
      </c>
      <c r="D25" s="12">
        <v>44509</v>
      </c>
      <c r="E25" s="11"/>
      <c r="F25" s="13"/>
      <c r="G25" s="13">
        <v>238127.14</v>
      </c>
      <c r="H25" s="14"/>
      <c r="I25" s="13"/>
      <c r="J25" s="129"/>
      <c r="K25" s="131" t="s">
        <v>60</v>
      </c>
    </row>
    <row r="26" spans="1:11" x14ac:dyDescent="0.25">
      <c r="A26" s="111" t="s">
        <v>148</v>
      </c>
      <c r="B26" s="11" t="s">
        <v>149</v>
      </c>
      <c r="C26" s="11" t="s">
        <v>82</v>
      </c>
      <c r="D26" s="12" t="s">
        <v>150</v>
      </c>
      <c r="E26" s="11"/>
      <c r="F26" s="13"/>
      <c r="G26" s="13">
        <v>238127.14</v>
      </c>
      <c r="H26" s="14"/>
      <c r="I26" s="13"/>
      <c r="J26" s="129"/>
      <c r="K26" s="131" t="s">
        <v>60</v>
      </c>
    </row>
    <row r="27" spans="1:11" x14ac:dyDescent="0.25">
      <c r="A27" s="111" t="s">
        <v>151</v>
      </c>
      <c r="B27" s="11" t="s">
        <v>152</v>
      </c>
      <c r="C27" s="11" t="s">
        <v>82</v>
      </c>
      <c r="D27" s="12">
        <v>44482</v>
      </c>
      <c r="E27" s="11"/>
      <c r="F27" s="13"/>
      <c r="G27" s="13">
        <v>170690.32</v>
      </c>
      <c r="H27" s="14"/>
      <c r="I27" s="14"/>
      <c r="J27" s="13"/>
      <c r="K27" s="131" t="s">
        <v>60</v>
      </c>
    </row>
    <row r="28" spans="1:11" x14ac:dyDescent="0.25">
      <c r="A28" s="111" t="s">
        <v>153</v>
      </c>
      <c r="B28" s="11" t="s">
        <v>154</v>
      </c>
      <c r="C28" s="11" t="s">
        <v>175</v>
      </c>
      <c r="D28" s="12">
        <v>44509</v>
      </c>
      <c r="E28" s="11"/>
      <c r="F28" s="13"/>
      <c r="G28" s="13">
        <v>207097.4</v>
      </c>
      <c r="H28" s="14"/>
      <c r="I28" s="14"/>
      <c r="J28" s="13"/>
      <c r="K28" s="131" t="s">
        <v>60</v>
      </c>
    </row>
    <row r="29" spans="1:11" x14ac:dyDescent="0.25">
      <c r="A29" s="111" t="s">
        <v>155</v>
      </c>
      <c r="B29" s="11" t="s">
        <v>156</v>
      </c>
      <c r="C29" s="11" t="s">
        <v>66</v>
      </c>
      <c r="D29" s="12">
        <v>44482</v>
      </c>
      <c r="E29" s="11"/>
      <c r="F29" s="13"/>
      <c r="G29" s="13">
        <v>221311.59</v>
      </c>
      <c r="H29" s="14"/>
      <c r="I29" s="14"/>
      <c r="J29" s="13"/>
      <c r="K29" s="131" t="s">
        <v>60</v>
      </c>
    </row>
    <row r="30" spans="1:11" ht="33.75" customHeight="1" x14ac:dyDescent="0.25">
      <c r="A30" s="111" t="s">
        <v>171</v>
      </c>
      <c r="B30" s="11"/>
      <c r="C30" s="11" t="s">
        <v>176</v>
      </c>
      <c r="D30" s="12"/>
      <c r="E30" s="11"/>
      <c r="F30" s="13">
        <v>433864.03</v>
      </c>
      <c r="G30" s="13"/>
      <c r="H30" s="14"/>
      <c r="I30" s="14"/>
      <c r="J30" s="13"/>
      <c r="K30" s="131">
        <f>F30*-1</f>
        <v>-433864.03</v>
      </c>
    </row>
    <row r="31" spans="1:11" x14ac:dyDescent="0.25">
      <c r="A31" s="111" t="s">
        <v>172</v>
      </c>
      <c r="B31" s="11"/>
      <c r="C31" s="11" t="s">
        <v>59</v>
      </c>
      <c r="D31" s="12"/>
      <c r="E31" s="11"/>
      <c r="F31" s="13">
        <v>504133.83</v>
      </c>
      <c r="G31" s="13"/>
      <c r="H31" s="14"/>
      <c r="I31" s="14"/>
      <c r="J31" s="13"/>
      <c r="K31" s="131">
        <f t="shared" ref="K31:K33" si="0">F31*-1</f>
        <v>-504133.83</v>
      </c>
    </row>
    <row r="32" spans="1:11" x14ac:dyDescent="0.25">
      <c r="A32" s="111" t="s">
        <v>173</v>
      </c>
      <c r="B32" s="11"/>
      <c r="C32" s="11" t="s">
        <v>59</v>
      </c>
      <c r="D32" s="12"/>
      <c r="E32" s="11"/>
      <c r="F32" s="13">
        <v>348016.52</v>
      </c>
      <c r="G32" s="13"/>
      <c r="H32" s="14"/>
      <c r="I32" s="14"/>
      <c r="J32" s="13"/>
      <c r="K32" s="131">
        <f t="shared" si="0"/>
        <v>-348016.52</v>
      </c>
    </row>
    <row r="33" spans="1:11" x14ac:dyDescent="0.25">
      <c r="A33" s="111" t="s">
        <v>174</v>
      </c>
      <c r="B33" s="11"/>
      <c r="C33" s="11" t="s">
        <v>59</v>
      </c>
      <c r="D33" s="12"/>
      <c r="E33" s="11"/>
      <c r="F33" s="13">
        <v>390288.75</v>
      </c>
      <c r="G33" s="13"/>
      <c r="H33" s="14"/>
      <c r="I33" s="14"/>
      <c r="J33" s="13"/>
      <c r="K33" s="131">
        <f t="shared" si="0"/>
        <v>-390288.75</v>
      </c>
    </row>
    <row r="34" spans="1:11" ht="15" customHeight="1" x14ac:dyDescent="0.25">
      <c r="A34" s="153" t="s">
        <v>140</v>
      </c>
      <c r="B34" s="154"/>
      <c r="C34" s="154"/>
      <c r="D34" s="154"/>
      <c r="E34" s="154"/>
      <c r="F34" s="154"/>
      <c r="G34" s="154"/>
      <c r="H34" s="154"/>
      <c r="I34" s="155"/>
      <c r="J34" s="103">
        <f>SUM(J16:J33)</f>
        <v>269916.59000000003</v>
      </c>
      <c r="K34" s="116">
        <f>SUM(F16:F33)*-1</f>
        <v>-1676303.1300000001</v>
      </c>
    </row>
    <row r="35" spans="1:11" ht="15.75" customHeight="1" thickBot="1" x14ac:dyDescent="0.3">
      <c r="A35" s="156"/>
      <c r="B35" s="157"/>
      <c r="C35" s="157"/>
      <c r="D35" s="157"/>
      <c r="E35" s="157"/>
      <c r="F35" s="157"/>
      <c r="G35" s="157"/>
      <c r="H35" s="157"/>
      <c r="I35" s="158"/>
      <c r="J35" s="147">
        <f>(-K34-J34)*-1</f>
        <v>-1406386.54</v>
      </c>
      <c r="K35" s="148"/>
    </row>
  </sheetData>
  <mergeCells count="24">
    <mergeCell ref="J35:K35"/>
    <mergeCell ref="A5:K5"/>
    <mergeCell ref="H6:J6"/>
    <mergeCell ref="H7:J7"/>
    <mergeCell ref="H8:J8"/>
    <mergeCell ref="H9:J9"/>
    <mergeCell ref="H10:J10"/>
    <mergeCell ref="H11:J11"/>
    <mergeCell ref="A34:I35"/>
    <mergeCell ref="B11:E11"/>
    <mergeCell ref="F11:G11"/>
    <mergeCell ref="B7:E7"/>
    <mergeCell ref="B8:E8"/>
    <mergeCell ref="B9:E9"/>
    <mergeCell ref="B10:E10"/>
    <mergeCell ref="F9:G9"/>
    <mergeCell ref="F10:G10"/>
    <mergeCell ref="F7:G7"/>
    <mergeCell ref="F8:G8"/>
    <mergeCell ref="A1:K1"/>
    <mergeCell ref="A2:K2"/>
    <mergeCell ref="A3:K3"/>
    <mergeCell ref="B6:E6"/>
    <mergeCell ref="F6:G6"/>
  </mergeCells>
  <pageMargins left="0.62992125984251968" right="0.39370078740157483" top="0.70866141732283472" bottom="0.19685039370078741" header="0.47244094488188981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Plano de Aplicação</vt:lpstr>
      <vt:lpstr>Plano de Custeio </vt:lpstr>
      <vt:lpstr>Memória de cálculo Invest </vt:lpstr>
      <vt:lpstr>'Plano de Custeio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Miramar de Souza Almeida</dc:creator>
  <cp:lastModifiedBy>REGIS</cp:lastModifiedBy>
  <cp:lastPrinted>2018-07-03T19:04:03Z</cp:lastPrinted>
  <dcterms:created xsi:type="dcterms:W3CDTF">2015-08-25T14:37:43Z</dcterms:created>
  <dcterms:modified xsi:type="dcterms:W3CDTF">2023-03-30T18:41:52Z</dcterms:modified>
</cp:coreProperties>
</file>