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nciabaciaspcj.sharepoint.com/sites/se.pcj/Documentos Compartilhados/SE-COMITÊS PCJ/Plenária/_Reuniões/_Reuniões/Reuniões 2023/1__29ªOrd.ComitêsPCJ_30.03.23_FUMEP/2.4 - Plano de Aplicação 2023/"/>
    </mc:Choice>
  </mc:AlternateContent>
  <xr:revisionPtr revIDLastSave="6" documentId="8_{3E79CECB-B630-4FA7-AB0B-2F84957CF143}" xr6:coauthVersionLast="47" xr6:coauthVersionMax="47" xr10:uidLastSave="{77987878-9512-4290-B829-D085C3502375}"/>
  <bookViews>
    <workbookView xWindow="-28920" yWindow="-120" windowWidth="29040" windowHeight="15840" tabRatio="630" activeTab="2" xr2:uid="{00000000-000D-0000-FFFF-FFFF00000000}"/>
  </bookViews>
  <sheets>
    <sheet name="Plano de Aplicação" sheetId="8" r:id="rId1"/>
    <sheet name="Plano de Custeio " sheetId="10" r:id="rId2"/>
    <sheet name="Memória de cálculo Invest " sheetId="9" r:id="rId3"/>
  </sheets>
  <definedNames>
    <definedName name="_xlnm._FilterDatabase" localSheetId="2" hidden="1">#N/A</definedName>
    <definedName name="_xlnm.Print_Area" localSheetId="1">#N/A</definedName>
    <definedName name="_xlnm.Print_Titles" localSheetId="2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8" l="1"/>
  <c r="B50" i="8"/>
  <c r="B45" i="8"/>
  <c r="J57" i="9"/>
  <c r="J56" i="9"/>
  <c r="J55" i="9"/>
  <c r="J54" i="9"/>
  <c r="J58" i="9" s="1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58" i="9" s="1"/>
  <c r="B39" i="10"/>
  <c r="B24" i="10"/>
  <c r="B29" i="10"/>
  <c r="B32" i="10"/>
  <c r="B28" i="10" s="1"/>
  <c r="B22" i="10"/>
  <c r="B19" i="10"/>
  <c r="B27" i="10"/>
  <c r="B21" i="10" s="1"/>
  <c r="B20" i="10"/>
  <c r="B13" i="10" s="1"/>
  <c r="B11" i="10"/>
  <c r="B7" i="10" s="1"/>
  <c r="B23" i="8"/>
  <c r="B21" i="8"/>
  <c r="B19" i="8"/>
  <c r="B14" i="8"/>
  <c r="C64" i="8"/>
  <c r="C13" i="8"/>
  <c r="C9" i="8"/>
  <c r="C62" i="8"/>
  <c r="B29" i="8"/>
  <c r="C26" i="8"/>
  <c r="B34" i="8"/>
  <c r="C31" i="8" s="1"/>
  <c r="B49" i="8"/>
  <c r="B44" i="8"/>
  <c r="C41" i="8"/>
  <c r="B39" i="8"/>
  <c r="C36" i="8"/>
  <c r="C18" i="8"/>
  <c r="C46" i="8" s="1"/>
  <c r="C58" i="8"/>
  <c r="D58" i="8"/>
  <c r="C8" i="8"/>
  <c r="B53" i="8"/>
  <c r="J59" i="9" l="1"/>
  <c r="B70" i="8" s="1"/>
  <c r="C68" i="8" s="1"/>
  <c r="B12" i="10"/>
  <c r="B34" i="10"/>
  <c r="C25" i="8"/>
  <c r="B54" i="8" s="1"/>
  <c r="C52" i="8" s="1"/>
  <c r="C72" i="8" s="1"/>
  <c r="C73" i="8" s="1"/>
  <c r="B50" i="10" l="1"/>
  <c r="B33" i="10" s="1"/>
  <c r="B20" i="8"/>
  <c r="B51" i="10"/>
  <c r="C49" i="10" l="1"/>
  <c r="C48" i="10"/>
  <c r="C47" i="10"/>
  <c r="C46" i="10"/>
  <c r="C45" i="10"/>
  <c r="C44" i="10"/>
  <c r="C43" i="10"/>
  <c r="C42" i="10"/>
  <c r="C41" i="10"/>
  <c r="C40" i="10"/>
  <c r="C38" i="10"/>
  <c r="C37" i="10"/>
  <c r="C36" i="10"/>
  <c r="C35" i="10"/>
  <c r="C31" i="10"/>
  <c r="C30" i="10"/>
  <c r="C26" i="10"/>
  <c r="C25" i="10"/>
  <c r="C23" i="10"/>
  <c r="C18" i="10"/>
  <c r="C17" i="10"/>
  <c r="C16" i="10"/>
  <c r="C15" i="10"/>
  <c r="C14" i="10"/>
  <c r="C10" i="10"/>
  <c r="C9" i="10"/>
  <c r="C8" i="10"/>
  <c r="C11" i="10" s="1"/>
  <c r="C7" i="10" s="1"/>
  <c r="C13" i="10"/>
  <c r="C21" i="10"/>
  <c r="C19" i="10"/>
  <c r="C22" i="10"/>
  <c r="C28" i="10"/>
  <c r="C29" i="10"/>
  <c r="C32" i="10" s="1"/>
  <c r="C24" i="10"/>
  <c r="C39" i="10"/>
  <c r="C34" i="10"/>
  <c r="C50" i="10" s="1"/>
  <c r="C33" i="10"/>
  <c r="B22" i="8"/>
  <c r="C27" i="10" l="1"/>
  <c r="C20" i="10"/>
  <c r="C12" i="10" s="1"/>
  <c r="C5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tc={593F5BEF-E764-4E15-9B23-D051FD0796D1}</author>
    <author>tc={84EC3B85-70A8-471C-962A-666A58419D00}</author>
    <author>tc={B458C061-7C13-4AF9-84C4-6E0AC8BCE312}</author>
    <author>tc={0B46028D-5F79-41A8-BC3B-7905C7B5702C}</author>
    <author>tc={92907C81-F876-4368-AEC8-DA60CE4D17C6}</author>
    <author>tc={908CE29E-A3CA-4A15-8890-F834002A824E}</author>
    <author>tc={27D8A77B-FE29-4D1C-A9CF-B788E9A037DA}</author>
    <author>tc={670B1F5E-5CC6-4F37-8EAD-9E5A32016AF1}</author>
    <author>tc={961684F7-9BE7-4F69-A546-A8AB1C853289}</author>
    <author>tc={2491AC44-9933-4D8C-9771-E83A3CD64572}</author>
    <author>tc={B62E30E7-E305-4AB6-9645-DE376AE9B016}</author>
    <author>tc={E3E5BC6D-111B-4138-877B-AB6F6178DB92}</author>
    <author>tc={734526F0-6993-47D1-BCE4-4DA20EAE65E7}</author>
    <author>tc={2BC03FB0-C050-4D3A-A2AA-1E32DF6D3A9E}</author>
    <author>tc={FE5EAE05-D8BF-4638-B85A-E65E3E24697D}</author>
    <author>tc={ED583BC8-5702-4FBC-B07A-09863C59407C}</author>
    <author>tc={331C4C95-6DC8-4C57-8C7B-6DB24E166362}</author>
    <author>tc={FDC7ADEE-04A1-49EF-BBF2-9C85A0578F52}</author>
    <author>tc={AAC3B81B-B6CB-4A08-B08E-9C96AAD1FE68}</author>
    <author>tc={A4F6C476-7F78-417A-9F77-A390722AB1CB}</author>
    <author>tc={25B950DD-7AF4-43E8-B536-849EFD863A27}</author>
    <author>tc={BC26AED7-81CA-4A2C-9A58-CADC46AFDF08}</author>
    <author>tc={C74194F4-B43C-4DD0-91F8-180CEF8D9C43}</author>
    <author>tc={1CE2A22C-1E0C-4D3C-B3A9-ED08B099295A}</author>
    <author>tc={AC2FBD6B-861D-410B-8EB3-4565A5E8F27B}</author>
    <author>tc={C9D8256F-E27B-4FF7-ACDF-717D828C7F77}</author>
    <author>tc={A3EF6AA7-1F12-4A0C-A618-C95B9946E8E4}</author>
    <author>tc={6E65D1CF-A0BE-4E28-981C-5A7E25BFCA7D}</author>
    <author>tc={651DE134-2723-4327-9322-3C2820BA63D0}</author>
    <author>tc={D59D31F4-E8C4-481C-8334-55AEF1863AA5}</author>
    <author>tc={C8ADF6A3-64C0-49EF-A112-D608E6BA5FB6}</author>
    <author>tc={799B120C-BCDC-428A-B436-27F9402D3F63}</author>
    <author>tc={EB045701-1245-4CB2-BD7F-004E8C065BD9}</author>
    <author>Carolina Miramar de Souza Almeida</author>
    <author>tc={AADD4642-9507-460A-A4E5-C7B5EF89DEE4}</author>
  </authors>
  <commentList>
    <comment ref="C6" authorId="0" shapeId="0" xr:uid="{593F5BEF-E764-4E15-9B23-D051FD0796D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na LOA 2023 - Publicação D.O.E. em 27/12/2022</t>
      </text>
    </comment>
    <comment ref="B10" authorId="1" shapeId="0" xr:uid="{84EC3B85-70A8-471C-962A-666A58419D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constante no Plano de Aplicação 2022 (item 1.1)</t>
      </text>
    </comment>
    <comment ref="B11" authorId="2" shapeId="0" xr:uid="{B458C061-7C13-4AF9-84C4-6E0AC8BCE312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total de créditos no Relatório da DesenvolveSP (Soma de Crédito de Boletos + Crédito de Depósitos)</t>
      </text>
    </comment>
    <comment ref="B12" authorId="3" shapeId="0" xr:uid="{0B46028D-5F79-41A8-BC3B-7905C7B5702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total dos ressarcimentos (Relatório DesenvolveSP)</t>
      </text>
    </comment>
    <comment ref="B14" authorId="4" shapeId="0" xr:uid="{92907C81-F876-4368-AEC8-DA60CE4D17C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10% do valor constante do item 2.1.1 desta planilha</t>
      </text>
    </comment>
    <comment ref="B15" authorId="5" shapeId="0" xr:uid="{908CE29E-A3CA-4A15-8890-F834002A824E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total obtido pelo Relatório da DesenvolveSP - linha 25 "Repasses Arrecadação Cobrança" + linha 21 "Custeio". </t>
      </text>
    </comment>
    <comment ref="B19" authorId="6" shapeId="0" xr:uid="{27D8A77B-FE29-4D1C-A9CF-B788E9A037D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conforme Anexo II - Célula B7 - Custos Operacionais da Cobrança</t>
      </text>
    </comment>
    <comment ref="B20" authorId="7" shapeId="0" xr:uid="{670B1F5E-5CC6-4F37-8EAD-9E5A32016AF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conforme Anexo II - Célula B12 - Atividades de Secretaria Executiva</t>
      </text>
    </comment>
    <comment ref="B21" authorId="8" shapeId="0" xr:uid="{961684F7-9BE7-4F69-A546-A8AB1C85328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conforme Anexo II - Célula B28 - Outras despesas de custeio</t>
      </text>
    </comment>
    <comment ref="B22" authorId="9" shapeId="0" xr:uid="{2491AC44-9933-4D8C-9771-E83A3CD64572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conforme Anexo II - Célula B33 - Pessoal</t>
      </text>
    </comment>
    <comment ref="B23" authorId="10" shapeId="0" xr:uid="{B62E30E7-E305-4AB6-9645-DE376AE9B01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conforme Anexo II - Célula B9</t>
      </text>
    </comment>
    <comment ref="B27" authorId="11" shapeId="0" xr:uid="{E3E5BC6D-111B-4138-877B-AB6F6178DB92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na Deliberação do Plano de Aplicação do ano anterior (item 4.1.4).</t>
      </text>
    </comment>
    <comment ref="B28" authorId="12" shapeId="0" xr:uid="{734526F0-6993-47D1-BCE4-4DA20EAE65E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total de rendimentos - Relatório DesenvolveSP - Linha 13
Responder:
    Conforme e-mail da Teresa da CRHi, do dia 24/02/2023, foi solicitado que aguardássemos pois a CRHi irá verificar com a Desenvolve SP o valor real de rendimentos em 2022.</t>
      </text>
    </comment>
    <comment ref="B30" authorId="13" shapeId="0" xr:uid="{2BC03FB0-C050-4D3A-A2AA-1E32DF6D3A9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Estimativa realizada com base nos valores de rendimentos dos anos anteriores. No entanto, em 2022 (4.1.2) o valor ficou muito acima do esperado/estimado (4.1.1) - Verificar com Ivens.
Responder:
    Verificado com Ivens em reunião</t>
      </text>
    </comment>
    <comment ref="B32" authorId="14" shapeId="0" xr:uid="{FE5EAE05-D8BF-4638-B85A-E65E3E24697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Estimativa baseada na Deliberação do P.A. do ano anterior (item 4.2.4).</t>
      </text>
    </comment>
    <comment ref="B33" authorId="15" shapeId="0" xr:uid="{ED583BC8-5702-4FBC-B07A-09863C59407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Dados da linha "Taxa de Administração - Agente Financeiro Cobrança" - linha 26.
Responder:
    Conforme e-mail da Teresa da CRHi, acrescentamos o valor de R$ 34,18 (desembolso de taxa adm. Para agente financeiro - tarifas bancárias cobradas pelo BB).</t>
      </text>
    </comment>
    <comment ref="B35" authorId="16" shapeId="0" xr:uid="{331C4C95-6DC8-4C57-8C7B-6DB24E166362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Estimativa de 2% do saldo do fundo referente ao último Relatório DesenvolveSP recebido em 2022 (Dezembro: R$ 83.072.297,91) - Célula S52</t>
      </text>
    </comment>
    <comment ref="B37" authorId="17" shapeId="0" xr:uid="{FDC7ADEE-04A1-49EF-BBF2-9C85A0578F52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Referente ao item 4.3.4 da Deliberação do P.A. do ano anterior.</t>
      </text>
    </comment>
    <comment ref="B38" authorId="18" shapeId="0" xr:uid="{AAC3B81B-B6CB-4A08-B08E-9C96AAD1FE6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Dados do total da linha 27 - "Taxa de Liberação - Agente Financeiro" Relatório DesenvolveSP.</t>
      </text>
    </comment>
    <comment ref="B40" authorId="19" shapeId="0" xr:uid="{A4F6C476-7F78-417A-9F77-A390722AB1C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estimado com base nos anos anteriores, considerado entre o efetuado (item 4.3.2) e a previsão (item 4.3.1) (aproximadamente) - conforme instrução do Roteiro para elaboração do Plano de Aplicação Anual.</t>
      </text>
    </comment>
    <comment ref="B42" authorId="20" shapeId="0" xr:uid="{25B950DD-7AF4-43E8-B536-849EFD863A2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Item 4.4.4 da Deliberação do P.A. do ano anterior.</t>
      </text>
    </comment>
    <comment ref="B43" authorId="21" shapeId="0" xr:uid="{BC26AED7-81CA-4A2C-9A58-CADC46AFDF08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Dados da linha 28 "Total Taxa de Liberação Agentes Técnicos". </t>
      </text>
    </comment>
    <comment ref="B45" authorId="22" shapeId="0" xr:uid="{C74194F4-B43C-4DD0-91F8-180CEF8D9C43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Estimativa de 2% sobre a previsão de arrecadação do exercício de 2023 (R$ 20.849.000,00).
Responder:
    Como a maior parte dos pareceres de liberação de parcela, continuarão sendo emitidos pelos Agentes Técnicos atuais, penso que podemos manter a mesma metodologia nesse caso. Até porque falei com a Carol da SECOFEHIDRO, a qual me informou que não há ainda um cronograma consolidado para a migração dos contratos ativos ao novo AT.
</t>
      </text>
    </comment>
    <comment ref="B47" authorId="23" shapeId="0" xr:uid="{1CE2A22C-1E0C-4D3C-B3A9-ED08B099295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Item 4.5.4 da Deliberação do P.A. do ano anterior.</t>
      </text>
    </comment>
    <comment ref="B48" authorId="24" shapeId="0" xr:uid="{AC2FBD6B-861D-410B-8EB3-4565A5E8F27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Dados da linha 39 "Total Comissão de Estudos" - Relatório DesenvolveSP</t>
      </text>
    </comment>
    <comment ref="B50" authorId="25" shapeId="0" xr:uid="{C9D8256F-E27B-4FF7-ACDF-717D828C7F7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0,4% do valor estimado para indicação de empreendimentos no ano vigente: [arrecadação do ano vigente (item 1.1) - 10% de custeio (item 3.1) + estimativa de rendimentos do ano vigente (4.1.4.)] * 0,4%. 
Responder:
    conferir se continua 0,4%
Responder:
    Lívia vai verificar.
Responder:
    Nova metodologia: Número de projetos a serem submetidos para análise (43) X o maior valor considerado para Pareceres dos agentes técnicos.
Responder:
    Existe também os pareceres de aprovação dos empreendimentos deliberados em 2022. Assim, estou somando mais o valor correspondente à (38 x valor unitário para pareceres de aprovação de empreendimentos estruturais).</t>
      </text>
    </comment>
    <comment ref="B55" authorId="26" shapeId="0" xr:uid="{A3EF6AA7-1F12-4A0C-A618-C95B9946E8E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Conforme orientação recebida em 15/02/2023 pelo Sr. Marco Antonio Iwaniec, o valor total da linha 18 do Relatório DesenvolveSP -"Transferência ente Bacias" refere-se às transferências entre bacias de recursos oriundos da cobrança para a contratação de empreendimento de interesse regional entre alguns CBH's - como a própria solicitação do PCJ na Deliberação PCJ nº 403/2022 de 31/03/2022. Dessa forma, essas operações foram referentes ao exercício de 2022 e não devem ser previstas para o ano de 2023, portanto, deixando este valor zerado (conforme alinhado em reunião com Ivens).</t>
      </text>
    </comment>
    <comment ref="C61" authorId="27" shapeId="0" xr:uid="{6E65D1CF-A0BE-4E28-981C-5A7E25BFCA7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Verificar com o André/Ivens
Responder:
    Perguntei ao André hoje (13/02). Aguardando retorno.
Responder:
    André: "considerar sem transferências pra esse ano"
Responder:
    Verificado durante reunião (Lívia e Ivens)
Responder:
    Alinhado com Ivens em reunião - idem comentário do item 5.3 (valor zerado)</t>
      </text>
    </comment>
    <comment ref="B65" authorId="28" shapeId="0" xr:uid="{651DE134-2723-4327-9322-3C2820BA63D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"Rendas de aplicação repassadas pelo Tomador (Saldo Residual)": Não constaram valores para este item no Relatório da DesenvolveSP de 2022.
Responder:
    Conforme orientação recebida em 15/02/2023 pelo Sr. Marco Antonio Iwaniec, "realmente não houve pagamentos dessa linha em 2022. O DSP coloca, tantos os valores de parcela, como os rendimentos, na linha RET. OPER. NÃO REEMBOLSAVEIS. Assim, os valores dessa linha, que estão somando as parcelas e os rendimentos, serão preenchidos no item 6.6.2."</t>
      </text>
    </comment>
    <comment ref="B66" authorId="29" shapeId="0" xr:uid="{D59D31F4-E8C4-481C-8334-55AEF1863AA5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Somatória: "Estorno Lib. Op. Não Reembolsáveis" (linha16) + "Ret. Oper Não Reembolsáveis" (linha15).
Responder:
    Verificar com Marco Antônio se são a mesma coisa
Responder:
    Conforme orientação recebida em 15/02/2023 pelo Sr. Marco Antonio Iwaniec, "Retorno de Operações Não Reembolsáveis" são os valores de devoluções de parcelas e de rendimentos financeiros das contas correntes dos financiamentos não reembolsáveis encerrados.
"Estorno de Liberação de Operações Não Reembolsáveis" - esse termo aparece no extrato de 12/2022. Questionamos o DSP acerca disso e tivemos essa resposta: Trata-se de devolução de liberação indevida. Portanto, consderar somente a linha 15 da planilha: "Ret. Oper Não Reembolsáveis". </t>
      </text>
    </comment>
    <comment ref="B67" authorId="30" shapeId="0" xr:uid="{C8ADF6A3-64C0-49EF-A112-D608E6BA5FB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Supomos que seja a linha 17 do relatório DesenvolveSP: "Retorno de Parcelas - Contrato Reembolsáveis" que não apresentou valores durante o ano de 2022.
Responder:
    ok</t>
      </text>
    </comment>
    <comment ref="B69" authorId="31" shapeId="0" xr:uid="{799B120C-BCDC-428A-B436-27F9402D3F6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obtido na Deliberação PCJ 404/22, item "APURAÇÃO FINAL DA DISPONIBILIDADE PARA INVESTIMENTO".</t>
      </text>
    </comment>
    <comment ref="A70" authorId="32" shapeId="0" xr:uid="{EB045701-1245-4CB2-BD7F-004E8C065BD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 valor deve ser igual ao verificado no Anexo III - Resultado [  (1) - (2) ] - Célula JK32.</t>
      </text>
    </comment>
    <comment ref="B70" authorId="33" shapeId="0" xr:uid="{00000000-0006-0000-0000-000002000000}">
      <text>
        <r>
          <rPr>
            <b/>
            <sz val="7"/>
            <color indexed="81"/>
            <rFont val="Tahoma"/>
            <family val="2"/>
          </rPr>
          <t>Caso o resultado dos empreendimentos no anexo III seja negativo, insira o número com sinal de subtração.</t>
        </r>
      </text>
    </comment>
    <comment ref="A71" authorId="34" shapeId="0" xr:uid="{AADD4642-9507-460A-A4E5-C7B5EF89DEE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planilha DesenvolveSP não apresenta este item. Tony verificar.</t>
      </text>
    </comment>
    <comment ref="C71" authorId="33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Recurso de custeio transferido para investimento.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tc={D19BBD5A-A18F-42B1-A217-1EB068D73B77}</author>
    <author>tc={FE83E3E0-25D1-4818-B587-131CFD4AB146}</author>
    <author>tc={99FBAEB7-51A4-4E9B-98F4-625A4CA9557E}</author>
    <author>tc={626FA33D-270D-4D43-A1B9-55678ED7E1EC}</author>
    <author>tc={A9E67CF7-D067-486F-BA47-31E63273775D}</author>
    <author>tc={E5ACEB0F-0024-4380-8847-F9C40EFE4345}</author>
    <author>tc={DF710722-FC3D-4D35-8D97-B626A9907A1D}</author>
    <author>tc={D8A04B5B-5BCB-438E-8D9E-86B37BACCFE2}</author>
    <author>tc={E94A3D5D-6833-433C-8A05-E3107B1B4E80}</author>
    <author>tc={E0E48E19-F84A-4205-8678-6018F67D4A33}</author>
    <author>tc={A090CFFB-0EDB-4710-873F-CA7802923E9E}</author>
  </authors>
  <commentList>
    <comment ref="B8" authorId="0" shapeId="0" xr:uid="{D19BBD5A-A18F-42B1-A217-1EB068D73B7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Orçamento 2023 - Quadro 10% Estadual Paulista - DESPESAS BANCÁRIAS
Responder:
    vai manter o que consta no orçamento ou informa o valor que consta no contrato do BB? Verificar com Ivens
Responder:
    De acordo com o orçamento - Conversado com Ivens em reunião</t>
      </text>
    </comment>
    <comment ref="B14" authorId="1" shapeId="0" xr:uid="{FE83E3E0-25D1-4818-B587-131CFD4AB14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Orçamento 2023 - Quadro 10% Estadual Paulista - COPA E COZINHA, REFEITORIO</t>
      </text>
    </comment>
    <comment ref="B15" authorId="2" shapeId="0" xr:uid="{99FBAEB7-51A4-4E9B-98F4-625A4CA9557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Orçamento 2023 - Quadro 10% Estadual Paulista - COMBUSTÍVEL</t>
      </text>
    </comment>
    <comment ref="B17" authorId="3" shapeId="0" xr:uid="{626FA33D-270D-4D43-A1B9-55678ED7E1E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Orçamento 2023 - Quadro 10% Estadual Paulista - MATERIAL DE CONSUMO DE INFORMÁTICA</t>
      </text>
    </comment>
    <comment ref="B18" authorId="4" shapeId="0" xr:uid="{A9E67CF7-D067-486F-BA47-31E63273775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Orçamento 2023 - Quadro 10% Estadual Paulista - MATERIAL DE CONSUMO / EXPEDIENTE / ESCRITÓRIO</t>
      </text>
    </comment>
    <comment ref="B19" authorId="5" shapeId="0" xr:uid="{E5ACEB0F-0024-4380-8847-F9C40EFE434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Orçamento 2023 - Quadro 10% Estadual Paulista - MATERIAL GRÁFICO, CÓPIAS E REPRODUÇÕES, BENS NÃO IMOBILIZADOS.</t>
      </text>
    </comment>
    <comment ref="B22" authorId="6" shapeId="0" xr:uid="{DF710722-FC3D-4D35-8D97-B626A9907A1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Orçamento 2023 - Quadro 10% Estadual Paulista - CONTABILIDADE + JURÍCO + AUDITORIA</t>
      </text>
    </comment>
    <comment ref="B23" authorId="7" shapeId="0" xr:uid="{D8A04B5B-5BCB-438E-8D9E-86B37BACCFE2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Orçamento 2023 - Quadro 10% Estadual Paulista - CONSERVAÇÃO, HIGIENE E LIMPEZA</t>
      </text>
    </comment>
    <comment ref="B24" authorId="8" shapeId="0" xr:uid="{E94A3D5D-6833-433C-8A05-E3107B1B4E8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Orçamento 2023 - Quadro 10% Estadual Paulista - ALUGUÉIS E IPTU  + ASSINATURAS DE JORNAIS E REVISTAS + CONSERV E MANUT IMOV TERC + DESPESAS COM CARTÓRIO + CONDOMÍNIO + DESP MANUT EQUIP + DESP VEÍCULOS + LOCAÇÃO EQUIPA + LOCAÇÃO INST EXT + ORGAN REUN E EVENT + PUBLICAÇÕES + SEGUROS DE VEÍCULOS + SEURO EMPRESARIAL + TRASNPORTE DE PESSOAL E EM GERAL + ESTAGIÁRIOS</t>
      </text>
    </comment>
    <comment ref="B26" authorId="9" shapeId="0" xr:uid="{E0E48E19-F84A-4205-8678-6018F67D4A3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Orçamento 2023 - Quadro 10% Estadual Paulista - IMPOSTO DE RENDA</t>
      </text>
    </comment>
    <comment ref="B29" authorId="10" shapeId="0" xr:uid="{A090CFFB-0EDB-4710-873F-CA7802923E9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Orçamento 2023 - Quadro 10% Estadual Paulista - DESPESAS COM INTERNET + ENERGIA ELÉTRICA + TELEFONE, FAZ, OUTRAS COMUNICAÇÕES</t>
      </text>
    </comment>
  </commentList>
</comments>
</file>

<file path=xl/sharedStrings.xml><?xml version="1.0" encoding="utf-8"?>
<sst xmlns="http://schemas.openxmlformats.org/spreadsheetml/2006/main" count="496" uniqueCount="193">
  <si>
    <t>ANEXO I - PLANO DE APLICAÇÃO DE RECURSOS DA COBRANÇA PARA (ANO)</t>
  </si>
  <si>
    <t>Decreto estadual nº 50.667, de 30 de março de 2006</t>
  </si>
  <si>
    <t>1 RECEITA</t>
  </si>
  <si>
    <t>SUB-TOTAL</t>
  </si>
  <si>
    <t>TOTAL</t>
  </si>
  <si>
    <t>%</t>
  </si>
  <si>
    <t>1.1 Previsão de Arrecadação no Exercício (2023) - Programa 2625 - 18.544.2625.2469 - LOA / Ação 2469 (Financiamento de Ações na UGHRI Piracicaba, Capivari e Jundiaí - Rec. Cob. Uso Água)</t>
  </si>
  <si>
    <t>2 AJUSTE DA RECEITA (ANO ANTERIOR)</t>
  </si>
  <si>
    <t>2.1 Ajuste da Arrecadação</t>
  </si>
  <si>
    <t>2.1.1 Previsão de arrecadação (2022)</t>
  </si>
  <si>
    <t>2.1.2 Arrecadação (2022)</t>
  </si>
  <si>
    <t>2.1.3 Restituição de valores cobrados pelo uso da água ao usuário</t>
  </si>
  <si>
    <t xml:space="preserve">2.2 Ajuste do Custeio </t>
  </si>
  <si>
    <t>2.2.1 Previsão de alocação para Custeio (2022)</t>
  </si>
  <si>
    <t>2.2.2 Repasse efetivo para Custeio (2022) (Somatória de "Resgate para transferência ao DAEE" + "Repasse sobre valores arrecadados")</t>
  </si>
  <si>
    <t>3 DESPESAS DE CUSTEIO (conforme Anexo II)</t>
  </si>
  <si>
    <t>3.1 Alocação da previsão de arrecadação (máximo de 10%)</t>
  </si>
  <si>
    <t xml:space="preserve">3.1.1 Custos Operacionais da Cobrança (Alinea "a", Inciso VI, Artigo 22) </t>
  </si>
  <si>
    <t>3.1.2 Atividades de Secretaria Executiva (Alinea "b", Inciso VI, Artigo 22)</t>
  </si>
  <si>
    <t>3.1.3 Outras Despesas de Custeio (Alinea "c", Inciso VI, Artigo 22)</t>
  </si>
  <si>
    <t xml:space="preserve">3.1.4 Pessoal </t>
  </si>
  <si>
    <t>3.1.5 Transferência para DAEE - ressarcimento de tarifas de cobrança</t>
  </si>
  <si>
    <t>4 AJUSTES DO EXERCÍCIO ANTERIOR E PREVISÕES PARA O EXERCÍCIO ATUAL</t>
  </si>
  <si>
    <t>4.1 Rendimentos</t>
  </si>
  <si>
    <t>4.1.1 Previsão de rendimentos (2022)</t>
  </si>
  <si>
    <t>4.1.2 Rendimentos (2022)</t>
  </si>
  <si>
    <t>4.1.3 Ajuste do exercício (2022) (previsto x rendimentos)</t>
  </si>
  <si>
    <t>4.1.4 Previsão para o exercício de (2023)</t>
  </si>
  <si>
    <t>4.2 Taxa de Administração do Agente Financeiro (Inc. V, Artigo 22)</t>
  </si>
  <si>
    <t>4.2.1 Previsão da Taxa de Administração (2022)</t>
  </si>
  <si>
    <t>4.2.2 Desembolso efetuado (2022)</t>
  </si>
  <si>
    <t>4.2.3 Ajuste da Taxa de Administração do Agente Financeiro (2022)</t>
  </si>
  <si>
    <t>4.2.4 Provisão para taxa de Administração do Agente Financeiro (2023)</t>
  </si>
  <si>
    <t>4.3 Taxa de Liberação do Agente Financeiro (Inc. V, Artigo 22)</t>
  </si>
  <si>
    <t>4.3.1 Previsão da Taxa de Liberação do Agente Financeiro (2022)</t>
  </si>
  <si>
    <t>4.3.2 Desembolso efetuado (2022)</t>
  </si>
  <si>
    <t>4.3.3 Ajuste da Taxa de Liberação do Agente Financeiro (2022)</t>
  </si>
  <si>
    <t>4.3.4 Provisão para Taxa de Liberação do Agente Financeiro (2023)</t>
  </si>
  <si>
    <t>4.4 Taxa de Liberação dos Agentes Técnicos (Inc. V, Artigo 22)</t>
  </si>
  <si>
    <t>4.4.1 Previsão da Taxa de Liberação dos Agentes Técnicos (2022)</t>
  </si>
  <si>
    <t>4.4.2 Desembolso efetuado (2022)</t>
  </si>
  <si>
    <t>4.4.3 Ajuste da Taxa de Liberação dos Agentes Técnicos (2022)</t>
  </si>
  <si>
    <t>4.4.4 Provisão para Taxa de Liberação dos Agentes Técnicos (2023)</t>
  </si>
  <si>
    <t>4.5 Taxa de Comissão de Estudos dos Agentes Técnicos (Inc. V, Artigo 22)</t>
  </si>
  <si>
    <t>4.5.1 Previsão da Taxa Comissão de Estudos dos Agentes Técnicos  (2022)</t>
  </si>
  <si>
    <t>4.5.2 Desembolso efetuado (2022)</t>
  </si>
  <si>
    <t>4.5.3 Ajuste da Taxa Comissão de Estudos dos Agentes Técnicos (2022)</t>
  </si>
  <si>
    <t>4.5.4 Provisão para Taxa Comissão de Estudos dos Agentes Técnicos (2023)</t>
  </si>
  <si>
    <t>5 APURAÇÃO PARCIAL DA DISPONIBILIDADE PARA INVESTIMENTO</t>
  </si>
  <si>
    <t>5.1 Ajuste da receita (transporte item 2)</t>
  </si>
  <si>
    <t>5.2 Total dos Ajustes e Previsões (transporte item 4)</t>
  </si>
  <si>
    <t>5.3 Recebimento da Transferência entre Bacias efetuada por outro(s) CBH(s)</t>
  </si>
  <si>
    <t>6 DESPESAS DE INVESTIMENTO</t>
  </si>
  <si>
    <t xml:space="preserve">6.1 Alocação da previsão de arrecadação para Investimento </t>
  </si>
  <si>
    <t>6.2 Empréstimos contratados (Inc. I, Artigo 22)</t>
  </si>
  <si>
    <t>6.3 Bases técnicas e instrum.da Política Est. de Rec. Hídricos (Inc. II, Artigo 22)</t>
  </si>
  <si>
    <t>6.4 Transferências entre Bacias (Inc. III, Artigo 22)</t>
  </si>
  <si>
    <t>6.5 Pagamentos (inc. IV, art. 22)</t>
  </si>
  <si>
    <t xml:space="preserve">6.5.1  Manutenção de sistemas de controle da cobrança </t>
  </si>
  <si>
    <t>6.6 Lançamentos a Crédito constantes no extrato bancário (2022)</t>
  </si>
  <si>
    <t>6.6.1 Rendimentos repassados pelo Tomador</t>
  </si>
  <si>
    <t>6.6.2 Devolução de parcelas - contratos não reembolsáveis</t>
  </si>
  <si>
    <t>6.6.3 Pagamento de parcelas - contratos com retorno</t>
  </si>
  <si>
    <t>6.7 Ajuste do exercício (ano anterior)</t>
  </si>
  <si>
    <t>6.7.1 Valor disponibilizado no plano de aplicação da cobrança (ano anterior) para investimento</t>
  </si>
  <si>
    <t xml:space="preserve">6.7.2 Resultado da movimentação dos empreendimentos (transporte do resultado apurado no Anexo III - Memória de cálculo  de investimento - pela diferença entre disponibilidades e valores  comprometidos) </t>
  </si>
  <si>
    <t xml:space="preserve">6.8 Transferência de Recursos de Custeio </t>
  </si>
  <si>
    <r>
      <t xml:space="preserve">6.9 Apuração parcial da disponibilidade para investimento </t>
    </r>
    <r>
      <rPr>
        <sz val="9"/>
        <rFont val="Arial"/>
        <family val="2"/>
      </rPr>
      <t>(transporte item 5)</t>
    </r>
  </si>
  <si>
    <t>APURAÇÃO FINAL DA DISPONIBILIDADE PARA INVESTIMENTO</t>
  </si>
  <si>
    <t>ANEXO II - DESPESAS DE CUSTEIO PARA (ANO)</t>
  </si>
  <si>
    <t>NATUREZA DAS DESPESAS</t>
  </si>
  <si>
    <t>VALOR (R$)</t>
  </si>
  <si>
    <t>Custos Operacionais da Cobrança</t>
  </si>
  <si>
    <t>1. Tarifas/Taxas Bancárias</t>
  </si>
  <si>
    <t>2. Transferência para DAEE - ressarcimento de tarifas de cobrança</t>
  </si>
  <si>
    <t>3. Correio</t>
  </si>
  <si>
    <t>Atividades de Secretaria Executiva</t>
  </si>
  <si>
    <t>Material de Consumo</t>
  </si>
  <si>
    <t xml:space="preserve">1. Gêneros alimentícios </t>
  </si>
  <si>
    <t xml:space="preserve">2. Combustíveis e Lubrificantes </t>
  </si>
  <si>
    <t xml:space="preserve">3. Material, peças e acessórios </t>
  </si>
  <si>
    <t>4. Material para informática</t>
  </si>
  <si>
    <t xml:space="preserve">5. Material de escritório </t>
  </si>
  <si>
    <t>6. Outros materiais de consumo</t>
  </si>
  <si>
    <t xml:space="preserve">Serviços de Terceiros </t>
  </si>
  <si>
    <t xml:space="preserve">1. Assessoria e consultoria </t>
  </si>
  <si>
    <t>2.Serviços de limpeza e vigilância (pessoa jurídica)</t>
  </si>
  <si>
    <t>3. Outros serviços de terceiros (pessoa jurídica)</t>
  </si>
  <si>
    <t>4. Outros serviços de terceiros (pessoa física)</t>
  </si>
  <si>
    <t>5. Obrigações Tributárias e Contributivas</t>
  </si>
  <si>
    <t>Outras Despesas de Custeio</t>
  </si>
  <si>
    <t>1. Serviços de Utilidade Pública</t>
  </si>
  <si>
    <t xml:space="preserve">2. Passagens e Despesas com Locomoção </t>
  </si>
  <si>
    <t>3. Alimentação e Hospedagem</t>
  </si>
  <si>
    <t xml:space="preserve"> Pessoal </t>
  </si>
  <si>
    <t>1. Sálarios Líquidos</t>
  </si>
  <si>
    <t>2. Férias + 1/3 (líquido)</t>
  </si>
  <si>
    <t>3. 13º salário (líquido)</t>
  </si>
  <si>
    <t>4. Provisão rescisão contratual</t>
  </si>
  <si>
    <t>5. Vale transporte</t>
  </si>
  <si>
    <t>6. Imposto de renda</t>
  </si>
  <si>
    <t>7. INSS</t>
  </si>
  <si>
    <t>8. PIS</t>
  </si>
  <si>
    <t>9. FGTS</t>
  </si>
  <si>
    <t>10. Assistência médica</t>
  </si>
  <si>
    <t>11. Auxílio alimentação</t>
  </si>
  <si>
    <t>12. Seguro de vida</t>
  </si>
  <si>
    <t>13.Auxílio creche</t>
  </si>
  <si>
    <t>14. Contribuição sindical</t>
  </si>
  <si>
    <t>15. Treinamento/Cursos/Congressos</t>
  </si>
  <si>
    <t>16. Saúde ocupacional (segurança e medicina do trabalho)</t>
  </si>
  <si>
    <t>TOTAL:</t>
  </si>
  <si>
    <t>ANEXO III - MEMÓRIA DE CÁLCULO DE INVESTIMENTO</t>
  </si>
  <si>
    <t>FÓRMULAS UTILIZADAS PARA CÁLCULO DOS RESÍDUOS E COMPROMETIDOS</t>
  </si>
  <si>
    <t>SITUAÇÃO</t>
  </si>
  <si>
    <t>Para empreendimentos com código SINFEHIDRO anteriores ao do Plano de Aplicação do (ano anterior)</t>
  </si>
  <si>
    <t xml:space="preserve">Lançar valor final na coluna </t>
  </si>
  <si>
    <t>Para empreendimentos com código SINFEHIDRO
do Plano de Aplicação do (ano anterior)</t>
  </si>
  <si>
    <t>Em análise</t>
  </si>
  <si>
    <t>-</t>
  </si>
  <si>
    <t>Valor da coluna (A)</t>
  </si>
  <si>
    <t>(F)</t>
  </si>
  <si>
    <t>Não Iniciado</t>
  </si>
  <si>
    <t>Valor da coluna (A)-(B)</t>
  </si>
  <si>
    <t>(E)</t>
  </si>
  <si>
    <t>Valor da coluna (B)</t>
  </si>
  <si>
    <t>Em Execução</t>
  </si>
  <si>
    <t>Concluído</t>
  </si>
  <si>
    <t>Valor da coluna (B)+(C)-(D)</t>
  </si>
  <si>
    <t>Cancelado</t>
  </si>
  <si>
    <t>Valor da coluna (A) ou (B)</t>
  </si>
  <si>
    <t>Nº SINFEHIDRO</t>
  </si>
  <si>
    <t>Nº Contrato</t>
  </si>
  <si>
    <t>Situação</t>
  </si>
  <si>
    <t>Data de assinatura</t>
  </si>
  <si>
    <t>Data de conclusão</t>
  </si>
  <si>
    <t>Valor pleiteado
(A)</t>
  </si>
  <si>
    <t>Valor aprovado
(B)</t>
  </si>
  <si>
    <t>Valor aditado
(C)</t>
  </si>
  <si>
    <t>Valor pago
(D)</t>
  </si>
  <si>
    <t>DISPONÍVEL
P/ UTILIZAÇÃO
(E)</t>
  </si>
  <si>
    <r>
      <rPr>
        <b/>
        <sz val="8"/>
        <rFont val="Arial"/>
        <family val="2"/>
      </rPr>
      <t>COMPROMETIDO</t>
    </r>
    <r>
      <rPr>
        <b/>
        <sz val="8.5"/>
        <rFont val="Arial"/>
        <family val="2"/>
      </rPr>
      <t xml:space="preserve">
</t>
    </r>
    <r>
      <rPr>
        <b/>
        <sz val="9"/>
        <rFont val="Arial"/>
        <family val="2"/>
      </rPr>
      <t>(F)</t>
    </r>
  </si>
  <si>
    <t>2022-PCJ_COB-217</t>
  </si>
  <si>
    <t>2022-PCJ_COB-218</t>
  </si>
  <si>
    <t>2022-PCJ_COB-219</t>
  </si>
  <si>
    <t>2022-PCJ_COB-220</t>
  </si>
  <si>
    <t>2022-PCJ_COB-221</t>
  </si>
  <si>
    <t>2022-PCJ_COB-222</t>
  </si>
  <si>
    <t>2022-PCJ_COB-223</t>
  </si>
  <si>
    <t>2022-PCJ_COB-224</t>
  </si>
  <si>
    <t>2022-PCJ_COB-225</t>
  </si>
  <si>
    <t>2022-PCJ_COB-226</t>
  </si>
  <si>
    <t>2022-PCJ_COB-227</t>
  </si>
  <si>
    <t>2022-PCJ_COB-228</t>
  </si>
  <si>
    <t>2022-PCJ_COB-229</t>
  </si>
  <si>
    <t>2022-PCJ_COB-230</t>
  </si>
  <si>
    <t>2022-PCJ_COB-231</t>
  </si>
  <si>
    <t>2022-PCJ_COB-232</t>
  </si>
  <si>
    <t>2022-PCJ_COB-233</t>
  </si>
  <si>
    <t>2022-PCJ_COB-234</t>
  </si>
  <si>
    <t>2022-PCJ_COB-235</t>
  </si>
  <si>
    <t>2022-PCJ_COB-236</t>
  </si>
  <si>
    <t>2022-PCJ_COB-237</t>
  </si>
  <si>
    <t>2022-PCJ_COB-238</t>
  </si>
  <si>
    <t>2022-PCJ_COB-239</t>
  </si>
  <si>
    <t>2022-PCJ_COB-240</t>
  </si>
  <si>
    <t>2022-PCJ_COB-241</t>
  </si>
  <si>
    <t>2022-PCJ_COB-242</t>
  </si>
  <si>
    <t>2022-PCJ_COB-243</t>
  </si>
  <si>
    <t>2022-PCJ_COB-244</t>
  </si>
  <si>
    <t>2022-PCJ_COB-245</t>
  </si>
  <si>
    <t>2022-PCJ_COB-246</t>
  </si>
  <si>
    <t>2022-PCJ_COB-247</t>
  </si>
  <si>
    <t>2022-PCJ_COB-248</t>
  </si>
  <si>
    <t>2022-PCJ_COB-249</t>
  </si>
  <si>
    <t>2022-PCJ_COB-250</t>
  </si>
  <si>
    <t>2022-PCJ_COB-251</t>
  </si>
  <si>
    <t>2022-PCJ_COB-252</t>
  </si>
  <si>
    <t>2022-PCJ_COB-253</t>
  </si>
  <si>
    <t>2022-PCJ_COB-254</t>
  </si>
  <si>
    <t>2021-PCJ_COB-208</t>
  </si>
  <si>
    <t>155/2022</t>
  </si>
  <si>
    <t>Não iniciado</t>
  </si>
  <si>
    <t>2015-PCJ_COB-143</t>
  </si>
  <si>
    <t>109/2016</t>
  </si>
  <si>
    <t>2019-PCJ_COB-191</t>
  </si>
  <si>
    <t>042/2020</t>
  </si>
  <si>
    <t>2015-PCJ_COB-129</t>
  </si>
  <si>
    <t>049/2016</t>
  </si>
  <si>
    <t>Resultado a transferir para o item 6.7.2 do Anexo I (manter sinal negativo para transporte caso o resultado seja negativo)</t>
  </si>
  <si>
    <t xml:space="preserve">DELIBERAÇÃO DOS COMITÊS PCJ Nº 435/23, DE 30/03/2023          </t>
  </si>
  <si>
    <t xml:space="preserve">DELIBERAÇÃO DOS COMITÊS PCJ Nº 435/23, DE 30/03/2023     </t>
  </si>
  <si>
    <t xml:space="preserve">DELIBERAÇÃO DOS COMITÊS PCJ Nº 435/23, DE 30/03/2023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</si>
</sst>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7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1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14" fillId="0" borderId="0" xfId="0" applyFont="1"/>
    <xf numFmtId="0" fontId="14" fillId="0" borderId="1" xfId="0" applyFont="1" applyBorder="1"/>
    <xf numFmtId="0" fontId="15" fillId="0" borderId="2" xfId="0" applyFont="1" applyBorder="1"/>
    <xf numFmtId="0" fontId="14" fillId="0" borderId="2" xfId="0" applyFont="1" applyBorder="1"/>
    <xf numFmtId="10" fontId="16" fillId="0" borderId="3" xfId="0" applyNumberFormat="1" applyFont="1" applyBorder="1" applyAlignment="1" applyProtection="1">
      <alignment vertical="center"/>
      <protection locked="0"/>
    </xf>
    <xf numFmtId="9" fontId="16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 applyProtection="1">
      <alignment vertical="center"/>
      <protection locked="0"/>
    </xf>
    <xf numFmtId="4" fontId="4" fillId="0" borderId="4" xfId="0" applyNumberFormat="1" applyFont="1" applyBorder="1" applyAlignment="1" applyProtection="1">
      <alignment horizontal="right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0" fontId="2" fillId="0" borderId="0" xfId="2" applyFont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justify" vertical="center"/>
    </xf>
    <xf numFmtId="164" fontId="4" fillId="0" borderId="4" xfId="4" applyFont="1" applyBorder="1" applyAlignment="1" applyProtection="1">
      <alignment horizontal="justify" vertical="center"/>
      <protection locked="0"/>
    </xf>
    <xf numFmtId="0" fontId="14" fillId="0" borderId="0" xfId="0" applyFont="1" applyAlignment="1">
      <alignment vertical="center"/>
    </xf>
    <xf numFmtId="164" fontId="3" fillId="0" borderId="5" xfId="0" applyNumberFormat="1" applyFont="1" applyBorder="1" applyAlignment="1" applyProtection="1">
      <alignment vertical="center"/>
      <protection locked="0"/>
    </xf>
    <xf numFmtId="4" fontId="4" fillId="0" borderId="6" xfId="0" applyNumberFormat="1" applyFont="1" applyBorder="1" applyAlignment="1" applyProtection="1">
      <alignment vertical="center"/>
      <protection locked="0"/>
    </xf>
    <xf numFmtId="164" fontId="4" fillId="0" borderId="6" xfId="4" applyFont="1" applyFill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vertical="center"/>
      <protection locked="0"/>
    </xf>
    <xf numFmtId="0" fontId="3" fillId="4" borderId="9" xfId="2" applyFont="1" applyFill="1" applyBorder="1" applyAlignment="1" applyProtection="1">
      <alignment horizontal="center" vertical="center"/>
      <protection locked="0"/>
    </xf>
    <xf numFmtId="0" fontId="3" fillId="4" borderId="3" xfId="2" applyFont="1" applyFill="1" applyBorder="1" applyAlignment="1" applyProtection="1">
      <alignment horizontal="center" vertical="center"/>
      <protection locked="0"/>
    </xf>
    <xf numFmtId="0" fontId="2" fillId="4" borderId="3" xfId="2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4" fontId="3" fillId="5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vertical="center"/>
      <protection locked="0"/>
    </xf>
    <xf numFmtId="4" fontId="4" fillId="0" borderId="15" xfId="0" applyNumberFormat="1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16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4" fontId="3" fillId="5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4" fontId="3" fillId="5" borderId="11" xfId="0" applyNumberFormat="1" applyFont="1" applyFill="1" applyBorder="1" applyAlignment="1" applyProtection="1">
      <alignment horizontal="center" vertical="center"/>
      <protection locked="0"/>
    </xf>
    <xf numFmtId="4" fontId="3" fillId="5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4" fontId="4" fillId="0" borderId="1" xfId="0" applyNumberFormat="1" applyFont="1" applyBorder="1" applyAlignment="1" applyProtection="1">
      <alignment vertical="center"/>
      <protection locked="0"/>
    </xf>
    <xf numFmtId="0" fontId="17" fillId="0" borderId="17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4" fontId="3" fillId="5" borderId="18" xfId="0" applyNumberFormat="1" applyFont="1" applyFill="1" applyBorder="1" applyAlignment="1" applyProtection="1">
      <alignment horizontal="center" vertical="center"/>
      <protection locked="0"/>
    </xf>
    <xf numFmtId="4" fontId="3" fillId="5" borderId="19" xfId="0" applyNumberFormat="1" applyFont="1" applyFill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4" fontId="3" fillId="5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4" fontId="3" fillId="5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4" fontId="3" fillId="5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justify" vertical="center"/>
      <protection locked="0"/>
    </xf>
    <xf numFmtId="4" fontId="3" fillId="5" borderId="4" xfId="0" applyNumberFormat="1" applyFont="1" applyFill="1" applyBorder="1" applyAlignment="1" applyProtection="1">
      <alignment horizontal="justify" vertical="center"/>
      <protection locked="0"/>
    </xf>
    <xf numFmtId="0" fontId="3" fillId="0" borderId="4" xfId="0" applyFont="1" applyBorder="1" applyAlignment="1" applyProtection="1">
      <alignment horizontal="justify" vertical="center"/>
      <protection locked="0"/>
    </xf>
    <xf numFmtId="0" fontId="17" fillId="0" borderId="20" xfId="0" applyFont="1" applyBorder="1" applyAlignment="1" applyProtection="1">
      <alignment horizontal="justify" vertical="center"/>
      <protection locked="0"/>
    </xf>
    <xf numFmtId="0" fontId="17" fillId="0" borderId="0" xfId="0" applyFont="1" applyAlignment="1" applyProtection="1">
      <alignment horizontal="justify" vertical="center"/>
      <protection locked="0"/>
    </xf>
    <xf numFmtId="0" fontId="4" fillId="0" borderId="4" xfId="0" applyFont="1" applyBorder="1" applyAlignment="1" applyProtection="1">
      <alignment horizontal="justify" vertical="center"/>
      <protection locked="0"/>
    </xf>
    <xf numFmtId="4" fontId="3" fillId="5" borderId="12" xfId="0" applyNumberFormat="1" applyFont="1" applyFill="1" applyBorder="1" applyAlignment="1" applyProtection="1">
      <alignment horizontal="justify" vertical="center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3" fillId="0" borderId="17" xfId="0" applyFont="1" applyBorder="1" applyAlignment="1" applyProtection="1">
      <alignment horizontal="justify" vertical="center"/>
      <protection locked="0"/>
    </xf>
    <xf numFmtId="4" fontId="3" fillId="5" borderId="5" xfId="0" applyNumberFormat="1" applyFont="1" applyFill="1" applyBorder="1" applyAlignment="1" applyProtection="1">
      <alignment horizontal="justify" vertical="center"/>
      <protection locked="0"/>
    </xf>
    <xf numFmtId="164" fontId="3" fillId="0" borderId="5" xfId="0" applyNumberFormat="1" applyFont="1" applyBorder="1" applyAlignment="1">
      <alignment vertical="center"/>
    </xf>
    <xf numFmtId="164" fontId="3" fillId="0" borderId="24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0" fontId="16" fillId="0" borderId="3" xfId="0" applyNumberFormat="1" applyFont="1" applyBorder="1" applyAlignment="1">
      <alignment vertical="center"/>
    </xf>
    <xf numFmtId="4" fontId="3" fillId="0" borderId="12" xfId="0" applyNumberFormat="1" applyFont="1" applyBorder="1" applyAlignment="1" applyProtection="1">
      <alignment horizontal="justify" vertical="center"/>
      <protection locked="0"/>
    </xf>
    <xf numFmtId="164" fontId="3" fillId="0" borderId="4" xfId="0" applyNumberFormat="1" applyFont="1" applyBorder="1" applyAlignment="1">
      <alignment vertical="center"/>
    </xf>
    <xf numFmtId="164" fontId="3" fillId="0" borderId="23" xfId="0" applyNumberFormat="1" applyFont="1" applyBorder="1" applyAlignment="1">
      <alignment vertical="center"/>
    </xf>
    <xf numFmtId="164" fontId="4" fillId="0" borderId="4" xfId="4" applyFont="1" applyFill="1" applyBorder="1" applyAlignment="1" applyProtection="1">
      <alignment horizontal="right" vertical="center"/>
      <protection locked="0"/>
    </xf>
    <xf numFmtId="164" fontId="4" fillId="0" borderId="25" xfId="4" applyFont="1" applyFill="1" applyBorder="1" applyAlignment="1" applyProtection="1">
      <alignment horizontal="right" vertical="center"/>
      <protection locked="0"/>
    </xf>
    <xf numFmtId="164" fontId="3" fillId="5" borderId="11" xfId="4" applyFont="1" applyFill="1" applyBorder="1" applyAlignment="1" applyProtection="1">
      <alignment horizontal="justify" vertical="center"/>
      <protection locked="0"/>
    </xf>
    <xf numFmtId="164" fontId="3" fillId="5" borderId="4" xfId="4" applyFont="1" applyFill="1" applyBorder="1" applyAlignment="1" applyProtection="1">
      <alignment horizontal="justify" vertical="center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5" borderId="24" xfId="0" applyNumberFormat="1" applyFont="1" applyFill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>
      <alignment vertical="center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4" fontId="3" fillId="5" borderId="25" xfId="0" applyNumberFormat="1" applyFont="1" applyFill="1" applyBorder="1" applyAlignment="1" applyProtection="1">
      <alignment horizontal="center" vertical="center"/>
      <protection locked="0"/>
    </xf>
    <xf numFmtId="4" fontId="3" fillId="5" borderId="6" xfId="0" applyNumberFormat="1" applyFont="1" applyFill="1" applyBorder="1" applyAlignment="1" applyProtection="1">
      <alignment horizontal="center" vertical="center"/>
      <protection locked="0"/>
    </xf>
    <xf numFmtId="4" fontId="3" fillId="5" borderId="27" xfId="0" applyNumberFormat="1" applyFont="1" applyFill="1" applyBorder="1" applyAlignment="1" applyProtection="1">
      <alignment horizontal="center" vertical="center"/>
      <protection locked="0"/>
    </xf>
    <xf numFmtId="164" fontId="4" fillId="0" borderId="11" xfId="0" applyNumberFormat="1" applyFont="1" applyBorder="1" applyAlignment="1">
      <alignment vertical="center"/>
    </xf>
    <xf numFmtId="164" fontId="3" fillId="6" borderId="7" xfId="0" applyNumberFormat="1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15" fillId="0" borderId="28" xfId="0" applyFont="1" applyBorder="1"/>
    <xf numFmtId="0" fontId="15" fillId="0" borderId="28" xfId="0" applyFont="1" applyBorder="1" applyAlignment="1">
      <alignment horizontal="left" vertical="center"/>
    </xf>
    <xf numFmtId="0" fontId="15" fillId="0" borderId="29" xfId="0" applyFont="1" applyBorder="1"/>
    <xf numFmtId="0" fontId="3" fillId="6" borderId="30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4" fontId="7" fillId="2" borderId="21" xfId="0" applyNumberFormat="1" applyFont="1" applyFill="1" applyBorder="1" applyAlignment="1">
      <alignment horizontal="right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164" fontId="3" fillId="6" borderId="21" xfId="0" applyNumberFormat="1" applyFont="1" applyFill="1" applyBorder="1" applyAlignment="1">
      <alignment horizontal="center" vertical="center" wrapText="1"/>
    </xf>
    <xf numFmtId="164" fontId="3" fillId="0" borderId="5" xfId="4" applyFont="1" applyBorder="1" applyAlignment="1" applyProtection="1">
      <alignment horizontal="justify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2" fontId="17" fillId="0" borderId="0" xfId="0" applyNumberFormat="1" applyFont="1" applyAlignment="1" applyProtection="1">
      <alignment vertical="center"/>
      <protection locked="0"/>
    </xf>
    <xf numFmtId="43" fontId="19" fillId="0" borderId="0" xfId="0" applyNumberFormat="1" applyFont="1" applyAlignment="1">
      <alignment vertical="center" wrapText="1"/>
    </xf>
    <xf numFmtId="4" fontId="3" fillId="0" borderId="11" xfId="0" applyNumberFormat="1" applyFont="1" applyBorder="1" applyAlignment="1" applyProtection="1">
      <alignment horizontal="justify" vertical="center"/>
      <protection locked="0"/>
    </xf>
    <xf numFmtId="4" fontId="3" fillId="0" borderId="4" xfId="0" applyNumberFormat="1" applyFont="1" applyBorder="1" applyAlignment="1" applyProtection="1">
      <alignment horizontal="justify" vertical="center"/>
      <protection locked="0"/>
    </xf>
    <xf numFmtId="0" fontId="3" fillId="0" borderId="7" xfId="0" quotePrefix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4" fontId="7" fillId="2" borderId="21" xfId="0" quotePrefix="1" applyNumberFormat="1" applyFont="1" applyFill="1" applyBorder="1" applyAlignment="1">
      <alignment horizontal="right" vertical="center" wrapText="1"/>
    </xf>
    <xf numFmtId="4" fontId="7" fillId="2" borderId="7" xfId="0" quotePrefix="1" applyNumberFormat="1" applyFont="1" applyFill="1" applyBorder="1" applyAlignment="1">
      <alignment horizontal="right" vertical="center" wrapText="1"/>
    </xf>
    <xf numFmtId="164" fontId="4" fillId="0" borderId="12" xfId="4" applyFont="1" applyFill="1" applyBorder="1" applyAlignment="1" applyProtection="1">
      <alignment horizontal="justify" vertical="center"/>
      <protection locked="0"/>
    </xf>
    <xf numFmtId="164" fontId="3" fillId="0" borderId="5" xfId="4" applyFont="1" applyFill="1" applyBorder="1" applyAlignment="1" applyProtection="1">
      <alignment horizontal="justify" vertical="center"/>
      <protection locked="0"/>
    </xf>
    <xf numFmtId="4" fontId="4" fillId="0" borderId="5" xfId="0" applyNumberFormat="1" applyFont="1" applyBorder="1" applyAlignment="1" applyProtection="1">
      <alignment vertical="center"/>
      <protection locked="0"/>
    </xf>
    <xf numFmtId="4" fontId="4" fillId="0" borderId="25" xfId="0" applyNumberFormat="1" applyFont="1" applyBorder="1" applyAlignment="1" applyProtection="1">
      <alignment horizontal="right" vertical="center"/>
      <protection locked="0"/>
    </xf>
    <xf numFmtId="4" fontId="20" fillId="5" borderId="4" xfId="0" applyNumberFormat="1" applyFont="1" applyFill="1" applyBorder="1" applyAlignment="1" applyProtection="1">
      <alignment horizontal="justify" vertical="center"/>
      <protection locked="0"/>
    </xf>
    <xf numFmtId="0" fontId="21" fillId="0" borderId="26" xfId="0" applyFont="1" applyBorder="1" applyAlignment="1" applyProtection="1">
      <alignment vertical="center"/>
      <protection locked="0"/>
    </xf>
    <xf numFmtId="0" fontId="22" fillId="0" borderId="4" xfId="0" applyFont="1" applyBorder="1" applyAlignment="1" applyProtection="1">
      <alignment horizontal="justify" vertical="center"/>
      <protection locked="0"/>
    </xf>
    <xf numFmtId="4" fontId="22" fillId="0" borderId="23" xfId="0" applyNumberFormat="1" applyFont="1" applyBorder="1" applyAlignment="1" applyProtection="1">
      <alignment horizontal="justify" vertical="center"/>
      <protection locked="0"/>
    </xf>
    <xf numFmtId="164" fontId="21" fillId="0" borderId="5" xfId="0" applyNumberFormat="1" applyFont="1" applyBorder="1" applyAlignment="1" applyProtection="1">
      <alignment vertical="center"/>
      <protection locked="0"/>
    </xf>
    <xf numFmtId="164" fontId="4" fillId="0" borderId="5" xfId="4" applyFont="1" applyFill="1" applyBorder="1" applyAlignment="1" applyProtection="1">
      <alignment horizontal="right" vertical="center"/>
      <protection locked="0"/>
    </xf>
    <xf numFmtId="0" fontId="2" fillId="0" borderId="0" xfId="2" applyFont="1" applyAlignment="1">
      <alignment horizontal="center" vertical="center" wrapText="1"/>
    </xf>
    <xf numFmtId="0" fontId="3" fillId="2" borderId="11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43" fontId="2" fillId="0" borderId="0" xfId="2" applyNumberFormat="1" applyFont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43" fontId="15" fillId="3" borderId="9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43" fontId="15" fillId="7" borderId="10" xfId="0" applyNumberFormat="1" applyFont="1" applyFill="1" applyBorder="1" applyAlignment="1">
      <alignment horizontal="center" vertical="center" wrapText="1"/>
    </xf>
    <xf numFmtId="10" fontId="15" fillId="7" borderId="12" xfId="0" applyNumberFormat="1" applyFont="1" applyFill="1" applyBorder="1" applyAlignment="1">
      <alignment vertical="center" wrapText="1"/>
    </xf>
    <xf numFmtId="0" fontId="14" fillId="0" borderId="13" xfId="0" applyFont="1" applyBorder="1" applyAlignment="1">
      <alignment horizontal="justify" vertical="center" wrapText="1"/>
    </xf>
    <xf numFmtId="43" fontId="14" fillId="0" borderId="4" xfId="0" applyNumberFormat="1" applyFont="1" applyBorder="1" applyAlignment="1">
      <alignment horizontal="right" vertical="center" wrapText="1"/>
    </xf>
    <xf numFmtId="10" fontId="14" fillId="0" borderId="12" xfId="0" applyNumberFormat="1" applyFont="1" applyBorder="1" applyAlignment="1">
      <alignment vertical="center" wrapText="1"/>
    </xf>
    <xf numFmtId="0" fontId="15" fillId="0" borderId="13" xfId="0" applyFont="1" applyBorder="1" applyAlignment="1">
      <alignment horizontal="justify" vertical="center" wrapText="1"/>
    </xf>
    <xf numFmtId="43" fontId="15" fillId="0" borderId="23" xfId="0" applyNumberFormat="1" applyFont="1" applyBorder="1" applyAlignment="1">
      <alignment horizontal="right" vertical="center" wrapText="1"/>
    </xf>
    <xf numFmtId="10" fontId="15" fillId="0" borderId="12" xfId="0" applyNumberFormat="1" applyFont="1" applyBorder="1" applyAlignment="1">
      <alignment vertical="center" wrapText="1"/>
    </xf>
    <xf numFmtId="0" fontId="15" fillId="4" borderId="13" xfId="0" applyFont="1" applyFill="1" applyBorder="1" applyAlignment="1">
      <alignment horizontal="center" vertical="center" wrapText="1"/>
    </xf>
    <xf numFmtId="43" fontId="15" fillId="4" borderId="36" xfId="0" applyNumberFormat="1" applyFont="1" applyFill="1" applyBorder="1" applyAlignment="1">
      <alignment horizontal="center" vertical="center" wrapText="1"/>
    </xf>
    <xf numFmtId="43" fontId="15" fillId="0" borderId="4" xfId="0" applyNumberFormat="1" applyFont="1" applyBorder="1" applyAlignment="1">
      <alignment horizontal="right" vertical="center" wrapText="1"/>
    </xf>
    <xf numFmtId="43" fontId="14" fillId="0" borderId="4" xfId="0" applyNumberFormat="1" applyFont="1" applyBorder="1" applyAlignment="1">
      <alignment vertical="center" wrapText="1"/>
    </xf>
    <xf numFmtId="43" fontId="15" fillId="0" borderId="4" xfId="0" applyNumberFormat="1" applyFont="1" applyBorder="1" applyAlignment="1">
      <alignment vertical="center" wrapText="1"/>
    </xf>
    <xf numFmtId="43" fontId="15" fillId="0" borderId="23" xfId="0" applyNumberFormat="1" applyFont="1" applyBorder="1" applyAlignment="1">
      <alignment vertical="center" wrapText="1"/>
    </xf>
    <xf numFmtId="43" fontId="15" fillId="3" borderId="3" xfId="0" applyNumberFormat="1" applyFont="1" applyFill="1" applyBorder="1" applyAlignment="1">
      <alignment horizontal="center" vertical="center" wrapText="1"/>
    </xf>
    <xf numFmtId="9" fontId="15" fillId="3" borderId="14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3" fillId="4" borderId="15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2" fillId="0" borderId="0" xfId="2" applyFont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164" fontId="3" fillId="6" borderId="35" xfId="0" applyNumberFormat="1" applyFont="1" applyFill="1" applyBorder="1" applyAlignment="1">
      <alignment horizontal="center" vertical="center" wrapText="1"/>
    </xf>
    <xf numFmtId="164" fontId="3" fillId="6" borderId="2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2" fillId="0" borderId="0" xfId="2" applyFont="1" applyAlignment="1">
      <alignment horizont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164" fontId="16" fillId="0" borderId="5" xfId="0" applyNumberFormat="1" applyFont="1" applyBorder="1" applyAlignment="1">
      <alignment vertical="center"/>
    </xf>
  </cellXfs>
  <cellStyles count="6">
    <cellStyle name="Hiperlink 2" xfId="1" xr:uid="{00000000-0005-0000-0000-000001000000}"/>
    <cellStyle name="Normal" xfId="0" builtinId="0"/>
    <cellStyle name="Normal 2" xfId="2" xr:uid="{00000000-0005-0000-0000-000003000000}"/>
    <cellStyle name="Porcentagem 2" xfId="3" xr:uid="{00000000-0005-0000-0000-000004000000}"/>
    <cellStyle name="Vírgula" xfId="4" builtinId="3"/>
    <cellStyle name="Vírgula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ilian Cruz" id="{B14471BD-D3CE-4A52-AF19-71243F8F608E}" userId="S::lilian.cruz@agencia.baciaspcj.org.br::abc2a5cc-0c6a-47f8-a99f-2a5c5547723d" providerId="AD"/>
  <person displayName="Maria Moura" id="{2117211A-1417-4B50-B82A-FAE1BEE52AD2}" userId="S::maria.moura@agencia.baciaspcj.org.br::a7af48fd-a262-453c-b54b-51a6e659ad6a" providerId="AD"/>
  <person displayName="Lívia Modolo" id="{AB83EBB2-BCC4-40EE-A85D-E2F465CEE2BF}" userId="S::livia.modolo@agencia.baciaspcj.org.br::5fad1bf4-2d8b-485f-9de5-9ffc94e1f6fc" providerId="AD"/>
  <person displayName="Tony Segatto" id="{0A04FE8D-DAC7-4317-BEAD-64ED19EF31C2}" userId="S::tony.segatto@agencia.baciaspcj.org.br::64baf82b-6983-4717-9cbc-640bfe2c7c92" providerId="AD"/>
  <person displayName="Aline Briques" id="{3CAC1C80-0BD8-4480-80B5-3E2391E7D5FD}" userId="S::aline.briques@agencia.baciaspcj.org.br::73325f5b-5518-4287-a696-15d904c52abc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" dT="2023-01-19T12:58:57.30" personId="{3CAC1C80-0BD8-4480-80B5-3E2391E7D5FD}" id="{593F5BEF-E764-4E15-9B23-D051FD0796D1}">
    <text>Valor informado na LOA 2023 - Publicação D.O.E. em 27/12/2022</text>
  </threadedComment>
  <threadedComment ref="B10" dT="2023-01-19T12:59:52.78" personId="{3CAC1C80-0BD8-4480-80B5-3E2391E7D5FD}" id="{84EC3B85-70A8-471C-962A-666A58419D00}">
    <text>Valor constante no Plano de Aplicação 2022 (item 1.1)</text>
  </threadedComment>
  <threadedComment ref="B11" dT="2023-01-19T13:01:33.00" personId="{3CAC1C80-0BD8-4480-80B5-3E2391E7D5FD}" id="{B458C061-7C13-4AF9-84C4-6E0AC8BCE312}">
    <text>Valor total de créditos no Relatório da DesenvolveSP (Soma de Crédito de Boletos + Crédito de Depósitos)</text>
  </threadedComment>
  <threadedComment ref="B12" dT="2023-01-19T13:02:42.82" personId="{3CAC1C80-0BD8-4480-80B5-3E2391E7D5FD}" id="{0B46028D-5F79-41A8-BC3B-7905C7B5702C}">
    <text>Valor total dos ressarcimentos (Relatório DesenvolveSP)</text>
  </threadedComment>
  <threadedComment ref="B14" dT="2023-01-19T13:03:12.27" personId="{3CAC1C80-0BD8-4480-80B5-3E2391E7D5FD}" id="{92907C81-F876-4368-AEC8-DA60CE4D17C6}">
    <text>10% do valor constante do item 2.1.1 desta planilha</text>
  </threadedComment>
  <threadedComment ref="B15" dT="2023-01-19T13:11:50.30" personId="{3CAC1C80-0BD8-4480-80B5-3E2391E7D5FD}" id="{908CE29E-A3CA-4A15-8890-F834002A824E}">
    <text xml:space="preserve">Valor total obtido pelo Relatório da DesenvolveSP - linha 25 "Repasses Arrecadação Cobrança" + linha 21 "Custeio". </text>
  </threadedComment>
  <threadedComment ref="B19" dT="2023-01-19T13:15:38.98" personId="{3CAC1C80-0BD8-4480-80B5-3E2391E7D5FD}" id="{27D8A77B-FE29-4D1C-A9CF-B788E9A037DA}">
    <text>Valor conforme Anexo II - Célula B7 - Custos Operacionais da Cobrança</text>
  </threadedComment>
  <threadedComment ref="B20" dT="2023-01-19T13:16:16.86" personId="{3CAC1C80-0BD8-4480-80B5-3E2391E7D5FD}" id="{670B1F5E-5CC6-4F37-8EAD-9E5A32016AF1}">
    <text>Valor conforme Anexo II - Célula B12 - Atividades de Secretaria Executiva</text>
  </threadedComment>
  <threadedComment ref="B21" dT="2023-01-19T13:17:06.12" personId="{3CAC1C80-0BD8-4480-80B5-3E2391E7D5FD}" id="{961684F7-9BE7-4F69-A546-A8AB1C853289}">
    <text>Valor conforme Anexo II - Célula B28 - Outras despesas de custeio</text>
  </threadedComment>
  <threadedComment ref="B22" dT="2023-01-19T13:18:05.92" personId="{3CAC1C80-0BD8-4480-80B5-3E2391E7D5FD}" id="{2491AC44-9933-4D8C-9771-E83A3CD64572}">
    <text>Valor conforme Anexo II - Célula B33 - Pessoal</text>
  </threadedComment>
  <threadedComment ref="B23" dT="2023-01-19T13:18:30.08" personId="{3CAC1C80-0BD8-4480-80B5-3E2391E7D5FD}" id="{B62E30E7-E305-4AB6-9645-DE376AE9B016}">
    <text>Valor conforme Anexo II - Célula B9</text>
  </threadedComment>
  <threadedComment ref="B27" dT="2023-01-19T13:21:34.19" personId="{3CAC1C80-0BD8-4480-80B5-3E2391E7D5FD}" id="{E3E5BC6D-111B-4138-877B-AB6F6178DB92}">
    <text>Valor na Deliberação do Plano de Aplicação do ano anterior (item 4.1.4).</text>
  </threadedComment>
  <threadedComment ref="B28" dT="2023-01-19T13:22:36.48" personId="{3CAC1C80-0BD8-4480-80B5-3E2391E7D5FD}" id="{734526F0-6993-47D1-BCE4-4DA20EAE65E7}">
    <text>Valor total de rendimentos - Relatório DesenvolveSP - Linha 13</text>
  </threadedComment>
  <threadedComment ref="B28" dT="2023-02-27T13:48:36.77" personId="{0A04FE8D-DAC7-4317-BEAD-64ED19EF31C2}" id="{F0B3F9BB-D71F-4DC0-ADBF-69001943AAC0}" parentId="{734526F0-6993-47D1-BCE4-4DA20EAE65E7}">
    <text>Conforme e-mail da Teresa da CRHi, do dia 24/02/2023, foi solicitado que aguardássemos pois a CRHi irá verificar com a Desenvolve SP o valor real de rendimentos em 2022.</text>
  </threadedComment>
  <threadedComment ref="B30" dT="2023-01-19T13:30:35.01" personId="{3CAC1C80-0BD8-4480-80B5-3E2391E7D5FD}" id="{2BC03FB0-C050-4D3A-A2AA-1E32DF6D3A9E}">
    <text>Estimativa realizada com base nos valores de rendimentos dos anos anteriores. No entanto, em 2022 (4.1.2) o valor ficou muito acima do esperado/estimado (4.1.1) - Verificar com Ivens.</text>
  </threadedComment>
  <threadedComment ref="B30" dT="2023-02-14T19:28:47.40" personId="{B14471BD-D3CE-4A52-AF19-71243F8F608E}" id="{4BE571A0-2E00-4EF9-9E92-F5F0A7B56F42}" parentId="{2BC03FB0-C050-4D3A-A2AA-1E32DF6D3A9E}">
    <text>Verificado com Ivens em reunião</text>
  </threadedComment>
  <threadedComment ref="B32" dT="2023-01-19T13:53:32.86" personId="{3CAC1C80-0BD8-4480-80B5-3E2391E7D5FD}" id="{FE5EAE05-D8BF-4638-B85A-E65E3E24697D}">
    <text>Estimativa baseada na Deliberação do P.A. do ano anterior (item 4.2.4).</text>
  </threadedComment>
  <threadedComment ref="B33" dT="2023-01-19T13:55:22.77" personId="{3CAC1C80-0BD8-4480-80B5-3E2391E7D5FD}" id="{ED583BC8-5702-4FBC-B07A-09863C59407C}">
    <text>Dados da linha "Taxa de Administração - Agente Financeiro Cobrança" - linha 26.</text>
  </threadedComment>
  <threadedComment ref="B33" dT="2023-02-27T13:47:09.74" personId="{0A04FE8D-DAC7-4317-BEAD-64ED19EF31C2}" id="{E978D9DC-DED2-46C6-890E-E56D614D02C6}" parentId="{ED583BC8-5702-4FBC-B07A-09863C59407C}">
    <text>Conforme e-mail da Teresa da CRHi, acrescentamos o valor de R$ 34,18 (desembolso de taxa adm. Para agente financeiro - tarifas bancárias cobradas pelo BB).</text>
  </threadedComment>
  <threadedComment ref="B35" dT="2023-01-19T13:58:34.62" personId="{3CAC1C80-0BD8-4480-80B5-3E2391E7D5FD}" id="{331C4C95-6DC8-4C57-8C7B-6DB24E166362}">
    <text>Estimativa de 2% do saldo do fundo referente ao último Relatório DesenvolveSP recebido em 2022 (Dezembro: R$ 83.072.297,91) - Célula S52</text>
  </threadedComment>
  <threadedComment ref="B37" dT="2023-01-19T14:12:02.09" personId="{3CAC1C80-0BD8-4480-80B5-3E2391E7D5FD}" id="{FDC7ADEE-04A1-49EF-BBF2-9C85A0578F52}">
    <text>Referente ao item 4.3.4 da Deliberação do P.A. do ano anterior.</text>
  </threadedComment>
  <threadedComment ref="B38" dT="2023-01-19T14:22:26.91" personId="{3CAC1C80-0BD8-4480-80B5-3E2391E7D5FD}" id="{AAC3B81B-B6CB-4A08-B08E-9C96AAD1FE68}">
    <text>Dados do total da linha 27 - "Taxa de Liberação - Agente Financeiro" Relatório DesenvolveSP.</text>
  </threadedComment>
  <threadedComment ref="B40" dT="2023-01-19T14:41:35.55" personId="{3CAC1C80-0BD8-4480-80B5-3E2391E7D5FD}" id="{A4F6C476-7F78-417A-9F77-A390722AB1CB}">
    <text>Valor estimado com base nos anos anteriores, considerado entre o efetuado (item 4.3.2) e a previsão (item 4.3.1) (aproximadamente) - conforme instrução do Roteiro para elaboração do Plano de Aplicação Anual.</text>
  </threadedComment>
  <threadedComment ref="B42" dT="2023-01-19T14:43:33.02" personId="{3CAC1C80-0BD8-4480-80B5-3E2391E7D5FD}" id="{25B950DD-7AF4-43E8-B536-849EFD863A27}">
    <text>Item 4.4.4 da Deliberação do P.A. do ano anterior.</text>
  </threadedComment>
  <threadedComment ref="B43" dT="2023-01-19T14:44:26.45" personId="{3CAC1C80-0BD8-4480-80B5-3E2391E7D5FD}" id="{BC26AED7-81CA-4A2C-9A58-CADC46AFDF08}">
    <text xml:space="preserve">Dados da linha 28 "Total Taxa de Liberação Agentes Técnicos". </text>
  </threadedComment>
  <threadedComment ref="B45" dT="2023-01-19T15:04:09.53" personId="{3CAC1C80-0BD8-4480-80B5-3E2391E7D5FD}" id="{C74194F4-B43C-4DD0-91F8-180CEF8D9C43}">
    <text>Estimativa de 2% sobre a previsão de arrecadação do exercício de 2023 (R$ 20.849.000,00).</text>
  </threadedComment>
  <threadedComment ref="B45" dT="2023-02-15T20:51:29.99" personId="{AB83EBB2-BCC4-40EE-A85D-E2F465CEE2BF}" id="{06CFDF19-9B6F-4A9E-9BE1-A29BC665EB55}" parentId="{C74194F4-B43C-4DD0-91F8-180CEF8D9C43}">
    <text xml:space="preserve">Como a maior parte dos pareceres de liberação de parcela, continuarão sendo emitidos pelos Agentes Técnicos atuais, penso que podemos manter a mesma metodologia nesse caso. Até porque falei com a Carol da SECOFEHIDRO, a qual me informou que não há ainda um cronograma consolidado para a migração dos contratos ativos ao novo AT.
</text>
  </threadedComment>
  <threadedComment ref="B47" dT="2023-01-19T17:08:41.25" personId="{3CAC1C80-0BD8-4480-80B5-3E2391E7D5FD}" id="{1CE2A22C-1E0C-4D3C-B3A9-ED08B099295A}">
    <text>Item 4.5.4 da Deliberação do P.A. do ano anterior.</text>
  </threadedComment>
  <threadedComment ref="B48" dT="2023-01-19T17:16:02.61" personId="{3CAC1C80-0BD8-4480-80B5-3E2391E7D5FD}" id="{AC2FBD6B-861D-410B-8EB3-4565A5E8F27B}">
    <text>Dados da linha 39 "Total Comissão de Estudos" - Relatório DesenvolveSP</text>
  </threadedComment>
  <threadedComment ref="B50" dT="2023-01-19T17:25:20.41" personId="{3CAC1C80-0BD8-4480-80B5-3E2391E7D5FD}" id="{C9D8256F-E27B-4FF7-ACDF-717D828C7F77}">
    <text xml:space="preserve">0,4% do valor estimado para indicação de empreendimentos no ano vigente: [arrecadação do ano vigente (item 1.1) - 10% de custeio (item 3.1) + estimativa de rendimentos do ano vigente (4.1.4.)] * 0,4%. </text>
  </threadedComment>
  <threadedComment ref="B50" dT="2023-02-10T19:31:14.82" personId="{B14471BD-D3CE-4A52-AF19-71243F8F608E}" id="{2BDC57EE-AB45-49B6-811B-11107DFE7D41}" parentId="{C9D8256F-E27B-4FF7-ACDF-717D828C7F77}">
    <text>conferir se continua 0,4%</text>
  </threadedComment>
  <threadedComment ref="B50" dT="2023-02-13T13:01:19.03" personId="{3CAC1C80-0BD8-4480-80B5-3E2391E7D5FD}" id="{80012092-B646-4BFA-8975-421B64527153}" parentId="{C9D8256F-E27B-4FF7-ACDF-717D828C7F77}">
    <text>Lívia vai verificar.</text>
  </threadedComment>
  <threadedComment ref="B50" dT="2023-02-14T19:42:42.76" personId="{B14471BD-D3CE-4A52-AF19-71243F8F608E}" id="{68E00720-7F8A-4CFA-B699-9DEA2A935912}" parentId="{C9D8256F-E27B-4FF7-ACDF-717D828C7F77}">
    <text>Nova metodologia: Número de projetos a serem submetidos para análise (43) X o maior valor considerado para Pareceres dos agentes técnicos.</text>
  </threadedComment>
  <threadedComment ref="B50" dT="2023-02-15T20:19:06.24" personId="{AB83EBB2-BCC4-40EE-A85D-E2F465CEE2BF}" id="{4E2FC1E9-4466-4D69-A65E-4D1B91B0D853}" parentId="{C9D8256F-E27B-4FF7-ACDF-717D828C7F77}">
    <text>Existe também os pareceres de aprovação dos empreendimentos deliberados em 2022. Assim, estou somando mais o valor correspondente à (38 x valor unitário para pareceres de aprovação de empreendimentos estruturais).</text>
  </threadedComment>
  <threadedComment ref="B55" dT="2023-01-19T17:28:20.69" personId="{3CAC1C80-0BD8-4480-80B5-3E2391E7D5FD}" id="{A3EF6AA7-1F12-4A0C-A618-C95B9946E8E4}">
    <text>Conforme orientação recebida em 15/02/2023 pelo Sr. Marco Antonio Iwaniec, o valor total da linha 18 do Relatório DesenvolveSP -"Transferência ente Bacias" refere-se às transferências entre bacias de recursos oriundos da cobrança para a contratação de empreendimento de interesse regional entre alguns CBH's - como a própria solicitação do PCJ na Deliberação PCJ nº 403/2022 de 31/03/2022. Dessa forma, essas operações foram referentes ao exercício de 2022 e não devem ser previstas para o ano de 2023, portanto, deixando este valor zerado (conforme alinhado em reunião com Ivens).</text>
  </threadedComment>
  <threadedComment ref="C61" dT="2023-02-10T19:03:53.92" personId="{B14471BD-D3CE-4A52-AF19-71243F8F608E}" id="{6E65D1CF-A0BE-4E28-981C-5A7E25BFCA7D}">
    <text>Verificar com o André/Ivens</text>
  </threadedComment>
  <threadedComment ref="C61" dT="2023-02-13T20:54:20.94" personId="{AB83EBB2-BCC4-40EE-A85D-E2F465CEE2BF}" id="{36F43F14-8508-438C-BFD1-223B5B7E642D}" parentId="{6E65D1CF-A0BE-4E28-981C-5A7E25BFCA7D}">
    <text>Perguntei ao André hoje (13/02). Aguardando retorno.</text>
  </threadedComment>
  <threadedComment ref="C61" dT="2023-02-13T21:16:13.30" personId="{AB83EBB2-BCC4-40EE-A85D-E2F465CEE2BF}" id="{2E3F47C7-0FA0-4438-A0FC-AD874F9CF696}" parentId="{6E65D1CF-A0BE-4E28-981C-5A7E25BFCA7D}">
    <text>André: "considerar sem transferências pra esse ano"</text>
  </threadedComment>
  <threadedComment ref="C61" dT="2023-02-14T19:50:12.55" personId="{B14471BD-D3CE-4A52-AF19-71243F8F608E}" id="{A9D83C81-8262-4A0B-9E80-99E5BAA0FB4B}" parentId="{6E65D1CF-A0BE-4E28-981C-5A7E25BFCA7D}">
    <text>Verificado durante reunião (Lívia e Ivens)</text>
  </threadedComment>
  <threadedComment ref="C61" dT="2023-02-15T20:27:54.19" personId="{3CAC1C80-0BD8-4480-80B5-3E2391E7D5FD}" id="{D5A89DED-DEDB-4D2E-BE1A-2B539B332762}" parentId="{6E65D1CF-A0BE-4E28-981C-5A7E25BFCA7D}">
    <text>Alinhado com Ivens em reunião - idem comentário do item 5.3 (valor zerado)</text>
  </threadedComment>
  <threadedComment ref="B65" dT="2023-01-19T17:54:19.04" personId="{3CAC1C80-0BD8-4480-80B5-3E2391E7D5FD}" id="{651DE134-2723-4327-9322-3C2820BA63D0}">
    <text>"Rendas de aplicação repassadas pelo Tomador (Saldo Residual)": Não constaram valores para este item no Relatório da DesenvolveSP de 2022.</text>
  </threadedComment>
  <threadedComment ref="B65" dT="2023-02-15T20:29:22.24" personId="{3CAC1C80-0BD8-4480-80B5-3E2391E7D5FD}" id="{119A544E-73D1-4050-98D4-12A791D85A16}" parentId="{651DE134-2723-4327-9322-3C2820BA63D0}">
    <text>Conforme orientação recebida em 15/02/2023 pelo Sr. Marco Antonio Iwaniec, "realmente não houve pagamentos dessa linha em 2022. O DSP coloca, tantos os valores de parcela, como os rendimentos, na linha RET. OPER. NÃO REEMBOLSAVEIS. Assim, os valores dessa linha, que estão somando as parcelas e os rendimentos, serão preenchidos no item 6.6.2."</text>
  </threadedComment>
  <threadedComment ref="B66" dT="2023-01-19T18:09:44.27" personId="{3CAC1C80-0BD8-4480-80B5-3E2391E7D5FD}" id="{D59D31F4-E8C4-481C-8334-55AEF1863AA5}">
    <text>Somatória: "Estorno Lib. Op. Não Reembolsáveis" (linha16) + "Ret. Oper Não Reembolsáveis" (linha15).</text>
  </threadedComment>
  <threadedComment ref="B66" dT="2023-02-14T20:04:35.93" personId="{B14471BD-D3CE-4A52-AF19-71243F8F608E}" id="{519B2D05-959F-40B8-A9A1-546707F03F58}" parentId="{D59D31F4-E8C4-481C-8334-55AEF1863AA5}">
    <text>Verificar com Marco Antônio se são a mesma coisa</text>
  </threadedComment>
  <threadedComment ref="B66" dT="2023-02-15T20:32:37.95" personId="{3CAC1C80-0BD8-4480-80B5-3E2391E7D5FD}" id="{CC5B9218-A7DA-4545-9B84-6831293F4CDA}" parentId="{D59D31F4-E8C4-481C-8334-55AEF1863AA5}">
    <text xml:space="preserve">Conforme orientação recebida em 15/02/2023 pelo Sr. Marco Antonio Iwaniec, "Retorno de Operações Não Reembolsáveis" são os valores de devoluções de parcelas e de rendimentos financeiros das contas correntes dos financiamentos não reembolsáveis encerrados.
"Estorno de Liberação de Operações Não Reembolsáveis" - esse termo aparece no extrato de 12/2022. Questionamos o DSP acerca disso e tivemos essa resposta: Trata-se de devolução de liberação indevida. Portanto, consderar somente a linha 15 da planilha: "Ret. Oper Não Reembolsáveis". </text>
  </threadedComment>
  <threadedComment ref="B67" dT="2023-01-19T18:11:45.49" personId="{3CAC1C80-0BD8-4480-80B5-3E2391E7D5FD}" id="{C8ADF6A3-64C0-49EF-A112-D608E6BA5FB6}">
    <text>Supomos que seja a linha 17 do relatório DesenvolveSP: "Retorno de Parcelas - Contrato Reembolsáveis" que não apresentou valores durante o ano de 2022.</text>
  </threadedComment>
  <threadedComment ref="B67" dT="2023-02-14T20:04:58.79" personId="{B14471BD-D3CE-4A52-AF19-71243F8F608E}" id="{C1D51F78-2166-4214-95E3-FA60825A935A}" parentId="{C8ADF6A3-64C0-49EF-A112-D608E6BA5FB6}">
    <text>ok</text>
  </threadedComment>
  <threadedComment ref="B69" dT="2023-01-19T18:25:05.98" personId="{3CAC1C80-0BD8-4480-80B5-3E2391E7D5FD}" id="{799B120C-BCDC-428A-B436-27F9402D3F63}">
    <text>Valor obtido na Deliberação PCJ 404/22, item "APURAÇÃO FINAL DA DISPONIBILIDADE PARA INVESTIMENTO".</text>
  </threadedComment>
  <threadedComment ref="A70" dT="2023-01-19T18:31:56.11" personId="{3CAC1C80-0BD8-4480-80B5-3E2391E7D5FD}" id="{EB045701-1245-4CB2-BD7F-004E8C065BD9}">
    <text>Esse valor deve ser igual ao verificado no Anexo III - Resultado [  (1) - (2) ] - Célula JK32.</text>
  </threadedComment>
  <threadedComment ref="A71" dT="2023-01-19T18:35:34.02" personId="{3CAC1C80-0BD8-4480-80B5-3E2391E7D5FD}" id="{AADD4642-9507-460A-A4E5-C7B5EF89DEE4}">
    <text>A planilha DesenvolveSP não apresenta este item. Tony verificar.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8" dT="2023-01-19T14:20:40.92" personId="{2117211A-1417-4B50-B82A-FAE1BEE52AD2}" id="{D19BBD5A-A18F-42B1-A217-1EB068D73B77}">
    <text>Orçamento 2023 - Quadro 10% Estadual Paulista - DESPESAS BANCÁRIAS</text>
  </threadedComment>
  <threadedComment ref="B8" dT="2023-02-10T19:17:54.56" personId="{B14471BD-D3CE-4A52-AF19-71243F8F608E}" id="{E5613839-7390-468E-B708-804F3005DA98}" parentId="{D19BBD5A-A18F-42B1-A217-1EB068D73B77}">
    <text>vai manter o que consta no orçamento ou informa o valor que consta no contrato do BB? Verificar com Ivens</text>
  </threadedComment>
  <threadedComment ref="B8" dT="2023-02-14T19:20:23.90" personId="{B14471BD-D3CE-4A52-AF19-71243F8F608E}" id="{9159D277-8D52-4726-89CB-869DA06512CB}" parentId="{D19BBD5A-A18F-42B1-A217-1EB068D73B77}">
    <text>De acordo com o orçamento - Conversado com Ivens em reunião</text>
  </threadedComment>
  <threadedComment ref="B14" dT="2023-01-19T14:21:13.59" personId="{2117211A-1417-4B50-B82A-FAE1BEE52AD2}" id="{FE83E3E0-25D1-4818-B587-131CFD4AB146}">
    <text>Orçamento 2023 - Quadro 10% Estadual Paulista - COPA E COZINHA, REFEITORIO</text>
  </threadedComment>
  <threadedComment ref="B15" dT="2023-01-19T14:22:17.38" personId="{2117211A-1417-4B50-B82A-FAE1BEE52AD2}" id="{99FBAEB7-51A4-4E9B-98F4-625A4CA9557E}">
    <text>Orçamento 2023 - Quadro 10% Estadual Paulista - COMBUSTÍVEL</text>
  </threadedComment>
  <threadedComment ref="B17" dT="2023-01-19T14:23:36.66" personId="{2117211A-1417-4B50-B82A-FAE1BEE52AD2}" id="{626FA33D-270D-4D43-A1B9-55678ED7E1EC}">
    <text>Orçamento 2023 - Quadro 10% Estadual Paulista - MATERIAL DE CONSUMO DE INFORMÁTICA</text>
  </threadedComment>
  <threadedComment ref="B18" dT="2023-01-19T14:24:38.96" personId="{2117211A-1417-4B50-B82A-FAE1BEE52AD2}" id="{A9E67CF7-D067-486F-BA47-31E63273775D}">
    <text>Orçamento 2023 - Quadro 10% Estadual Paulista - MATERIAL DE CONSUMO / EXPEDIENTE / ESCRITÓRIO</text>
  </threadedComment>
  <threadedComment ref="B19" dT="2023-01-19T14:27:29.40" personId="{2117211A-1417-4B50-B82A-FAE1BEE52AD2}" id="{E5ACEB0F-0024-4380-8847-F9C40EFE4345}">
    <text>Orçamento 2023 - Quadro 10% Estadual Paulista - MATERIAL GRÁFICO, CÓPIAS E REPRODUÇÕES, BENS NÃO IMOBILIZADOS.</text>
  </threadedComment>
  <threadedComment ref="B22" dT="2023-01-19T14:30:02.75" personId="{2117211A-1417-4B50-B82A-FAE1BEE52AD2}" id="{DF710722-FC3D-4D35-8D97-B626A9907A1D}">
    <text>Orçamento 2023 - Quadro 10% Estadual Paulista - CONTABILIDADE + JURÍCO + AUDITORIA</text>
  </threadedComment>
  <threadedComment ref="B23" dT="2023-01-19T14:33:04.04" personId="{2117211A-1417-4B50-B82A-FAE1BEE52AD2}" id="{D8A04B5B-5BCB-438E-8D9E-86B37BACCFE2}">
    <text>Orçamento 2023 - Quadro 10% Estadual Paulista - CONSERVAÇÃO, HIGIENE E LIMPEZA</text>
  </threadedComment>
  <threadedComment ref="B24" dT="2023-01-19T15:12:05.63" personId="{2117211A-1417-4B50-B82A-FAE1BEE52AD2}" id="{E94A3D5D-6833-433C-8A05-E3107B1B4E80}">
    <text>Orçamento 2023 - Quadro 10% Estadual Paulista - ALUGUÉIS E IPTU  + ASSINATURAS DE JORNAIS E REVISTAS + CONSERV E MANUT IMOV TERC + DESPESAS COM CARTÓRIO + CONDOMÍNIO + DESP MANUT EQUIP + DESP VEÍCULOS + LOCAÇÃO EQUIPA + LOCAÇÃO INST EXT + ORGAN REUN E EVENT + PUBLICAÇÕES + SEGUROS DE VEÍCULOS + SEURO EMPRESARIAL + TRASNPORTE DE PESSOAL E EM GERAL + ESTAGIÁRIOS</text>
  </threadedComment>
  <threadedComment ref="B26" dT="2023-01-19T14:33:12.18" personId="{2117211A-1417-4B50-B82A-FAE1BEE52AD2}" id="{E0E48E19-F84A-4205-8678-6018F67D4A33}">
    <text>Orçamento 2023 - Quadro 10% Estadual Paulista - IMPOSTO DE RENDA</text>
  </threadedComment>
  <threadedComment ref="B29" dT="2023-01-19T14:36:53.68" personId="{2117211A-1417-4B50-B82A-FAE1BEE52AD2}" id="{A090CFFB-0EDB-4710-873F-CA7802923E9E}">
    <text>Orçamento 2023 - Quadro 10% Estadual Paulista - DESPESAS COM INTERNET + ENERGIA ELÉTRICA + TELEFONE, FAZ, OUTRAS COMUNICAÇÕES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4"/>
  <sheetViews>
    <sheetView zoomScale="110" zoomScaleNormal="110" zoomScalePageLayoutView="120" workbookViewId="0">
      <selection sqref="A1:D1"/>
    </sheetView>
  </sheetViews>
  <sheetFormatPr defaultRowHeight="12.75" x14ac:dyDescent="0.2"/>
  <cols>
    <col min="1" max="1" width="71.5703125" style="1" customWidth="1"/>
    <col min="2" max="2" width="16.28515625" style="1" customWidth="1"/>
    <col min="3" max="3" width="13.140625" style="1" customWidth="1"/>
    <col min="4" max="4" width="16" style="1" customWidth="1"/>
    <col min="5" max="16384" width="9.140625" style="1"/>
  </cols>
  <sheetData>
    <row r="1" spans="1:4" x14ac:dyDescent="0.2">
      <c r="A1" s="150" t="s">
        <v>190</v>
      </c>
      <c r="B1" s="150"/>
      <c r="C1" s="150"/>
      <c r="D1" s="150"/>
    </row>
    <row r="2" spans="1:4" x14ac:dyDescent="0.2">
      <c r="A2" s="151" t="s">
        <v>0</v>
      </c>
      <c r="B2" s="151"/>
      <c r="C2" s="151"/>
      <c r="D2" s="151"/>
    </row>
    <row r="3" spans="1:4" x14ac:dyDescent="0.2">
      <c r="A3" s="151" t="s">
        <v>1</v>
      </c>
      <c r="B3" s="151"/>
      <c r="C3" s="151"/>
      <c r="D3" s="151"/>
    </row>
    <row r="4" spans="1:4" ht="13.5" thickBot="1" x14ac:dyDescent="0.25">
      <c r="B4" s="2"/>
      <c r="C4" s="2"/>
      <c r="D4" s="2"/>
    </row>
    <row r="5" spans="1:4" s="17" customFormat="1" ht="15.75" customHeight="1" thickBot="1" x14ac:dyDescent="0.3">
      <c r="A5" s="21" t="s">
        <v>2</v>
      </c>
      <c r="B5" s="22" t="s">
        <v>3</v>
      </c>
      <c r="C5" s="23" t="s">
        <v>4</v>
      </c>
      <c r="D5" s="24" t="s">
        <v>5</v>
      </c>
    </row>
    <row r="6" spans="1:4" s="17" customFormat="1" ht="36" x14ac:dyDescent="0.25">
      <c r="A6" s="25" t="s">
        <v>6</v>
      </c>
      <c r="B6" s="26"/>
      <c r="C6" s="7">
        <v>20849000</v>
      </c>
      <c r="D6" s="6">
        <v>1</v>
      </c>
    </row>
    <row r="7" spans="1:4" s="17" customFormat="1" ht="7.5" customHeight="1" thickBot="1" x14ac:dyDescent="0.3">
      <c r="A7" s="27"/>
      <c r="B7" s="28"/>
      <c r="C7" s="29"/>
      <c r="D7" s="30"/>
    </row>
    <row r="8" spans="1:4" s="17" customFormat="1" ht="15.75" customHeight="1" thickBot="1" x14ac:dyDescent="0.3">
      <c r="A8" s="145" t="s">
        <v>7</v>
      </c>
      <c r="B8" s="146"/>
      <c r="C8" s="63">
        <f>SUM(C9)+(C13)</f>
        <v>1612934.9400000004</v>
      </c>
      <c r="D8" s="31"/>
    </row>
    <row r="9" spans="1:4" s="17" customFormat="1" ht="13.5" customHeight="1" thickBot="1" x14ac:dyDescent="0.3">
      <c r="A9" s="32" t="s">
        <v>8</v>
      </c>
      <c r="B9" s="33"/>
      <c r="C9" s="63">
        <f>SUM(B11)-(B10)-(B12)</f>
        <v>1624220.1900000004</v>
      </c>
      <c r="D9" s="30"/>
    </row>
    <row r="10" spans="1:4" s="17" customFormat="1" ht="13.5" customHeight="1" x14ac:dyDescent="0.25">
      <c r="A10" s="34" t="s">
        <v>9</v>
      </c>
      <c r="B10" s="19">
        <v>20209000</v>
      </c>
      <c r="C10" s="35"/>
      <c r="D10" s="30"/>
    </row>
    <row r="11" spans="1:4" s="17" customFormat="1" ht="13.5" customHeight="1" x14ac:dyDescent="0.25">
      <c r="A11" s="34" t="s">
        <v>10</v>
      </c>
      <c r="B11" s="19">
        <v>21853015.57</v>
      </c>
      <c r="C11" s="33"/>
      <c r="D11" s="30"/>
    </row>
    <row r="12" spans="1:4" s="17" customFormat="1" ht="13.5" customHeight="1" thickBot="1" x14ac:dyDescent="0.3">
      <c r="A12" s="34" t="s">
        <v>11</v>
      </c>
      <c r="B12" s="19">
        <v>19795.38</v>
      </c>
      <c r="C12" s="75"/>
      <c r="D12" s="30"/>
    </row>
    <row r="13" spans="1:4" s="17" customFormat="1" ht="13.5" customHeight="1" thickBot="1" x14ac:dyDescent="0.3">
      <c r="A13" s="37" t="s">
        <v>12</v>
      </c>
      <c r="B13" s="33"/>
      <c r="C13" s="63">
        <f>(B14)-(B15)</f>
        <v>-11285.25</v>
      </c>
      <c r="D13" s="30"/>
    </row>
    <row r="14" spans="1:4" s="17" customFormat="1" ht="13.5" customHeight="1" x14ac:dyDescent="0.25">
      <c r="A14" s="34" t="s">
        <v>13</v>
      </c>
      <c r="B14" s="19">
        <f>0.1*B10</f>
        <v>2020900</v>
      </c>
      <c r="C14" s="18"/>
      <c r="D14" s="30"/>
    </row>
    <row r="15" spans="1:4" s="17" customFormat="1" ht="24.75" customHeight="1" x14ac:dyDescent="0.25">
      <c r="A15" s="74" t="s">
        <v>14</v>
      </c>
      <c r="B15" s="111">
        <v>2032185.25</v>
      </c>
      <c r="C15" s="36"/>
      <c r="D15" s="30"/>
    </row>
    <row r="16" spans="1:4" s="17" customFormat="1" ht="7.5" customHeight="1" x14ac:dyDescent="0.25">
      <c r="A16" s="38"/>
      <c r="B16" s="39"/>
      <c r="C16" s="39"/>
      <c r="D16" s="30"/>
    </row>
    <row r="17" spans="1:4" s="17" customFormat="1" ht="15.75" customHeight="1" x14ac:dyDescent="0.25">
      <c r="A17" s="145" t="s">
        <v>15</v>
      </c>
      <c r="B17" s="147"/>
      <c r="C17" s="146"/>
      <c r="D17" s="40"/>
    </row>
    <row r="18" spans="1:4" s="17" customFormat="1" ht="13.5" customHeight="1" thickBot="1" x14ac:dyDescent="0.3">
      <c r="A18" s="41" t="s">
        <v>16</v>
      </c>
      <c r="B18" s="42"/>
      <c r="C18" s="64">
        <f>C6*D18</f>
        <v>2084900</v>
      </c>
      <c r="D18" s="5">
        <v>0.1</v>
      </c>
    </row>
    <row r="19" spans="1:4" s="17" customFormat="1" ht="13.5" customHeight="1" x14ac:dyDescent="0.25">
      <c r="A19" s="34" t="s">
        <v>17</v>
      </c>
      <c r="B19" s="8">
        <f>'Plano de Custeio '!B7</f>
        <v>57750</v>
      </c>
      <c r="C19" s="43"/>
      <c r="D19" s="44"/>
    </row>
    <row r="20" spans="1:4" s="17" customFormat="1" ht="13.5" customHeight="1" x14ac:dyDescent="0.25">
      <c r="A20" s="34" t="s">
        <v>18</v>
      </c>
      <c r="B20" s="8">
        <f>'Plano de Custeio '!B12</f>
        <v>512618.79000000004</v>
      </c>
      <c r="C20" s="33"/>
      <c r="D20" s="30"/>
    </row>
    <row r="21" spans="1:4" s="17" customFormat="1" ht="13.5" customHeight="1" x14ac:dyDescent="0.25">
      <c r="A21" s="34" t="s">
        <v>19</v>
      </c>
      <c r="B21" s="8">
        <f>'Plano de Custeio '!B28</f>
        <v>81005.31</v>
      </c>
      <c r="C21" s="33"/>
      <c r="D21" s="30"/>
    </row>
    <row r="22" spans="1:4" s="17" customFormat="1" ht="13.5" customHeight="1" x14ac:dyDescent="0.25">
      <c r="A22" s="45" t="s">
        <v>20</v>
      </c>
      <c r="B22" s="8">
        <f>'Plano de Custeio '!B33</f>
        <v>1433525.9</v>
      </c>
      <c r="C22" s="46"/>
      <c r="D22" s="31"/>
    </row>
    <row r="23" spans="1:4" s="17" customFormat="1" ht="13.5" customHeight="1" thickBot="1" x14ac:dyDescent="0.3">
      <c r="A23" s="47" t="s">
        <v>21</v>
      </c>
      <c r="B23" s="9">
        <f>'Plano de Custeio '!B9</f>
        <v>0</v>
      </c>
      <c r="C23" s="48"/>
      <c r="D23" s="31"/>
    </row>
    <row r="24" spans="1:4" s="17" customFormat="1" ht="18.75" customHeight="1" thickBot="1" x14ac:dyDescent="0.3">
      <c r="A24" s="49"/>
      <c r="B24" s="50"/>
      <c r="C24" s="50"/>
      <c r="D24" s="30"/>
    </row>
    <row r="25" spans="1:4" s="17" customFormat="1" ht="15.75" customHeight="1" x14ac:dyDescent="0.25">
      <c r="A25" s="145" t="s">
        <v>22</v>
      </c>
      <c r="B25" s="146"/>
      <c r="C25" s="165">
        <f>(C26)+(C31)+(C36)+(C41)+(C46)</f>
        <v>9988533.3200000003</v>
      </c>
      <c r="D25" s="30"/>
    </row>
    <row r="26" spans="1:4" s="17" customFormat="1" ht="13.5" customHeight="1" thickBot="1" x14ac:dyDescent="0.3">
      <c r="A26" s="120" t="s">
        <v>23</v>
      </c>
      <c r="B26" s="33"/>
      <c r="C26" s="63">
        <f>SUM(B30)+(B29)</f>
        <v>12406484.74</v>
      </c>
      <c r="D26" s="30"/>
    </row>
    <row r="27" spans="1:4" s="17" customFormat="1" ht="13.5" customHeight="1" x14ac:dyDescent="0.25">
      <c r="A27" s="121" t="s">
        <v>24</v>
      </c>
      <c r="B27" s="10">
        <v>2800000</v>
      </c>
      <c r="C27" s="35"/>
      <c r="D27" s="30"/>
    </row>
    <row r="28" spans="1:4" s="17" customFormat="1" ht="13.5" customHeight="1" x14ac:dyDescent="0.25">
      <c r="A28" s="121" t="s">
        <v>25</v>
      </c>
      <c r="B28" s="10">
        <v>8206484.7400000002</v>
      </c>
      <c r="C28" s="33"/>
      <c r="D28" s="30"/>
    </row>
    <row r="29" spans="1:4" s="17" customFormat="1" ht="13.5" customHeight="1" x14ac:dyDescent="0.25">
      <c r="A29" s="121" t="s">
        <v>26</v>
      </c>
      <c r="B29" s="68">
        <f>(B28)-(B27)</f>
        <v>5406484.7400000002</v>
      </c>
      <c r="C29" s="33"/>
      <c r="D29" s="30"/>
    </row>
    <row r="30" spans="1:4" s="17" customFormat="1" ht="13.5" customHeight="1" thickBot="1" x14ac:dyDescent="0.3">
      <c r="A30" s="121" t="s">
        <v>27</v>
      </c>
      <c r="B30" s="112">
        <v>7000000</v>
      </c>
      <c r="C30" s="36"/>
      <c r="D30" s="30"/>
    </row>
    <row r="31" spans="1:4" s="17" customFormat="1" ht="13.5" customHeight="1" x14ac:dyDescent="0.25">
      <c r="A31" s="122" t="s">
        <v>28</v>
      </c>
      <c r="B31" s="33"/>
      <c r="C31" s="165">
        <f>SUM(B34)-(B35)</f>
        <v>-1637069.75</v>
      </c>
      <c r="D31" s="30"/>
    </row>
    <row r="32" spans="1:4" s="17" customFormat="1" ht="13.5" customHeight="1" x14ac:dyDescent="0.25">
      <c r="A32" s="121" t="s">
        <v>29</v>
      </c>
      <c r="B32" s="10">
        <v>1458000</v>
      </c>
      <c r="C32" s="35"/>
      <c r="D32" s="30"/>
    </row>
    <row r="33" spans="1:4" s="17" customFormat="1" ht="13.5" customHeight="1" x14ac:dyDescent="0.25">
      <c r="A33" s="121" t="s">
        <v>30</v>
      </c>
      <c r="B33" s="20">
        <f>1433589.61+34.18</f>
        <v>1433623.79</v>
      </c>
      <c r="C33" s="33"/>
      <c r="D33" s="30"/>
    </row>
    <row r="34" spans="1:4" s="17" customFormat="1" ht="13.5" customHeight="1" x14ac:dyDescent="0.25">
      <c r="A34" s="121" t="s">
        <v>31</v>
      </c>
      <c r="B34" s="69">
        <f>(B32)-(B33)</f>
        <v>24376.209999999963</v>
      </c>
      <c r="C34" s="33"/>
      <c r="D34" s="30"/>
    </row>
    <row r="35" spans="1:4" s="17" customFormat="1" ht="13.5" customHeight="1" thickBot="1" x14ac:dyDescent="0.3">
      <c r="A35" s="121" t="s">
        <v>32</v>
      </c>
      <c r="B35" s="70">
        <v>1661445.96</v>
      </c>
      <c r="C35" s="36"/>
      <c r="D35" s="101"/>
    </row>
    <row r="36" spans="1:4" s="17" customFormat="1" ht="13.5" customHeight="1" thickBot="1" x14ac:dyDescent="0.3">
      <c r="A36" s="122" t="s">
        <v>33</v>
      </c>
      <c r="B36" s="33"/>
      <c r="C36" s="63">
        <f>SUM(B39)-(B40)</f>
        <v>-61513.58</v>
      </c>
      <c r="D36" s="30"/>
    </row>
    <row r="37" spans="1:4" s="17" customFormat="1" ht="13.5" customHeight="1" x14ac:dyDescent="0.25">
      <c r="A37" s="121" t="s">
        <v>34</v>
      </c>
      <c r="B37" s="20">
        <v>250000</v>
      </c>
      <c r="C37" s="35"/>
      <c r="D37" s="30"/>
    </row>
    <row r="38" spans="1:4" s="17" customFormat="1" ht="13.5" customHeight="1" x14ac:dyDescent="0.25">
      <c r="A38" s="121" t="s">
        <v>35</v>
      </c>
      <c r="B38" s="20">
        <v>121513.58</v>
      </c>
      <c r="C38" s="33"/>
      <c r="D38" s="30"/>
    </row>
    <row r="39" spans="1:4" s="17" customFormat="1" ht="13.5" customHeight="1" x14ac:dyDescent="0.25">
      <c r="A39" s="121" t="s">
        <v>36</v>
      </c>
      <c r="B39" s="68">
        <f>(B37)-(B38)</f>
        <v>128486.42</v>
      </c>
      <c r="C39" s="33"/>
      <c r="D39" s="30"/>
    </row>
    <row r="40" spans="1:4" s="17" customFormat="1" ht="13.5" customHeight="1" x14ac:dyDescent="0.25">
      <c r="A40" s="121" t="s">
        <v>37</v>
      </c>
      <c r="B40" s="71">
        <v>190000</v>
      </c>
      <c r="C40" s="51"/>
      <c r="D40" s="30"/>
    </row>
    <row r="41" spans="1:4" s="17" customFormat="1" ht="13.5" customHeight="1" thickBot="1" x14ac:dyDescent="0.3">
      <c r="A41" s="122" t="s">
        <v>38</v>
      </c>
      <c r="B41" s="33"/>
      <c r="C41" s="63">
        <f>SUM(B44)-(B45)</f>
        <v>-341016.22</v>
      </c>
      <c r="D41" s="30"/>
    </row>
    <row r="42" spans="1:4" s="17" customFormat="1" ht="13.5" customHeight="1" x14ac:dyDescent="0.25">
      <c r="A42" s="121" t="s">
        <v>39</v>
      </c>
      <c r="B42" s="20">
        <v>400000</v>
      </c>
      <c r="C42" s="35"/>
      <c r="D42" s="30"/>
    </row>
    <row r="43" spans="1:4" s="17" customFormat="1" ht="13.5" customHeight="1" x14ac:dyDescent="0.25">
      <c r="A43" s="121" t="s">
        <v>40</v>
      </c>
      <c r="B43" s="20">
        <v>324036.21999999997</v>
      </c>
      <c r="C43" s="33"/>
      <c r="D43" s="30"/>
    </row>
    <row r="44" spans="1:4" s="17" customFormat="1" ht="13.5" customHeight="1" x14ac:dyDescent="0.25">
      <c r="A44" s="121" t="s">
        <v>41</v>
      </c>
      <c r="B44" s="69">
        <f>(B42)-(B43)</f>
        <v>75963.780000000028</v>
      </c>
      <c r="C44" s="33"/>
      <c r="D44" s="30"/>
    </row>
    <row r="45" spans="1:4" s="17" customFormat="1" ht="13.5" customHeight="1" thickBot="1" x14ac:dyDescent="0.3">
      <c r="A45" s="121" t="s">
        <v>42</v>
      </c>
      <c r="B45" s="70">
        <f>0.02*C6</f>
        <v>416980</v>
      </c>
      <c r="C45" s="36"/>
      <c r="D45" s="30"/>
    </row>
    <row r="46" spans="1:4" s="17" customFormat="1" ht="13.5" customHeight="1" thickBot="1" x14ac:dyDescent="0.3">
      <c r="A46" s="122" t="s">
        <v>43</v>
      </c>
      <c r="B46" s="33"/>
      <c r="C46" s="63">
        <f>SUM(B49)-(B50)</f>
        <v>-378351.87000000005</v>
      </c>
      <c r="D46" s="30"/>
    </row>
    <row r="47" spans="1:4" s="17" customFormat="1" ht="13.5" customHeight="1" x14ac:dyDescent="0.25">
      <c r="A47" s="34" t="s">
        <v>44</v>
      </c>
      <c r="B47" s="20">
        <v>83952.4</v>
      </c>
      <c r="C47" s="35"/>
      <c r="D47" s="30"/>
    </row>
    <row r="48" spans="1:4" s="17" customFormat="1" ht="13.5" customHeight="1" x14ac:dyDescent="0.25">
      <c r="A48" s="34" t="s">
        <v>45</v>
      </c>
      <c r="B48" s="20">
        <v>18233.919999999998</v>
      </c>
      <c r="C48" s="33"/>
      <c r="D48" s="30"/>
    </row>
    <row r="49" spans="1:4" s="17" customFormat="1" ht="13.5" customHeight="1" x14ac:dyDescent="0.25">
      <c r="A49" s="34" t="s">
        <v>46</v>
      </c>
      <c r="B49" s="69">
        <f>(B47)-(B48)</f>
        <v>65718.48</v>
      </c>
      <c r="C49" s="33"/>
      <c r="D49" s="30"/>
    </row>
    <row r="50" spans="1:4" s="17" customFormat="1" ht="13.5" customHeight="1" thickBot="1" x14ac:dyDescent="0.3">
      <c r="A50" s="34" t="s">
        <v>47</v>
      </c>
      <c r="B50" s="118">
        <f>(43+38)*5482.35</f>
        <v>444070.35000000003</v>
      </c>
      <c r="C50" s="36"/>
      <c r="D50" s="30"/>
    </row>
    <row r="51" spans="1:4" s="17" customFormat="1" ht="7.5" customHeight="1" thickBot="1" x14ac:dyDescent="0.3">
      <c r="A51" s="38"/>
      <c r="B51" s="52"/>
      <c r="C51" s="52"/>
      <c r="D51" s="30"/>
    </row>
    <row r="52" spans="1:4" s="17" customFormat="1" ht="15.75" customHeight="1" thickBot="1" x14ac:dyDescent="0.3">
      <c r="A52" s="145" t="s">
        <v>48</v>
      </c>
      <c r="B52" s="146"/>
      <c r="C52" s="76">
        <f>SUM(B53)+(B54)+(B55)</f>
        <v>11601468.260000002</v>
      </c>
      <c r="D52" s="30"/>
    </row>
    <row r="53" spans="1:4" s="17" customFormat="1" ht="13.5" customHeight="1" x14ac:dyDescent="0.25">
      <c r="A53" s="77" t="s">
        <v>49</v>
      </c>
      <c r="B53" s="82">
        <f>C8</f>
        <v>1612934.9400000004</v>
      </c>
      <c r="C53" s="79"/>
      <c r="D53" s="30"/>
    </row>
    <row r="54" spans="1:4" s="17" customFormat="1" ht="13.5" customHeight="1" x14ac:dyDescent="0.25">
      <c r="A54" s="78" t="s">
        <v>50</v>
      </c>
      <c r="B54" s="65">
        <f>C25</f>
        <v>9988533.3200000003</v>
      </c>
      <c r="C54" s="80"/>
      <c r="D54" s="30"/>
    </row>
    <row r="55" spans="1:4" s="17" customFormat="1" ht="13.5" customHeight="1" thickBot="1" x14ac:dyDescent="0.3">
      <c r="A55" s="114" t="s">
        <v>51</v>
      </c>
      <c r="B55" s="117">
        <v>0</v>
      </c>
      <c r="C55" s="81"/>
      <c r="D55" s="30"/>
    </row>
    <row r="56" spans="1:4" s="17" customFormat="1" ht="7.5" customHeight="1" thickBot="1" x14ac:dyDescent="0.3">
      <c r="A56" s="52"/>
      <c r="B56" s="52"/>
      <c r="C56" s="52"/>
      <c r="D56" s="30"/>
    </row>
    <row r="57" spans="1:4" s="17" customFormat="1" ht="15.75" customHeight="1" thickBot="1" x14ac:dyDescent="0.3">
      <c r="A57" s="145" t="s">
        <v>52</v>
      </c>
      <c r="B57" s="147"/>
      <c r="C57" s="146"/>
      <c r="D57" s="40"/>
    </row>
    <row r="58" spans="1:4" s="15" customFormat="1" ht="13.5" customHeight="1" thickBot="1" x14ac:dyDescent="0.3">
      <c r="A58" s="53" t="s">
        <v>53</v>
      </c>
      <c r="B58" s="54"/>
      <c r="C58" s="63">
        <f>(C6)-(C18)</f>
        <v>18764100</v>
      </c>
      <c r="D58" s="66">
        <f>SUM(D6)-(D18)</f>
        <v>0.9</v>
      </c>
    </row>
    <row r="59" spans="1:4" s="15" customFormat="1" ht="13.5" customHeight="1" x14ac:dyDescent="0.25">
      <c r="A59" s="55" t="s">
        <v>54</v>
      </c>
      <c r="B59" s="54"/>
      <c r="C59" s="103">
        <v>0</v>
      </c>
      <c r="D59" s="56"/>
    </row>
    <row r="60" spans="1:4" s="15" customFormat="1" ht="13.5" customHeight="1" x14ac:dyDescent="0.25">
      <c r="A60" s="55" t="s">
        <v>55</v>
      </c>
      <c r="B60" s="54"/>
      <c r="C60" s="104">
        <v>0</v>
      </c>
      <c r="D60" s="57"/>
    </row>
    <row r="61" spans="1:4" s="15" customFormat="1" ht="13.5" customHeight="1" x14ac:dyDescent="0.25">
      <c r="A61" s="115" t="s">
        <v>56</v>
      </c>
      <c r="B61" s="113"/>
      <c r="C61" s="116">
        <v>0</v>
      </c>
      <c r="D61" s="57"/>
    </row>
    <row r="62" spans="1:4" s="15" customFormat="1" ht="13.5" customHeight="1" thickBot="1" x14ac:dyDescent="0.3">
      <c r="A62" s="55" t="s">
        <v>57</v>
      </c>
      <c r="B62" s="54"/>
      <c r="C62" s="63">
        <f>B63</f>
        <v>0</v>
      </c>
      <c r="D62" s="57"/>
    </row>
    <row r="63" spans="1:4" s="15" customFormat="1" ht="13.5" customHeight="1" x14ac:dyDescent="0.25">
      <c r="A63" s="58" t="s">
        <v>58</v>
      </c>
      <c r="B63" s="16"/>
      <c r="C63" s="54"/>
      <c r="D63" s="57"/>
    </row>
    <row r="64" spans="1:4" s="15" customFormat="1" ht="13.5" customHeight="1" thickBot="1" x14ac:dyDescent="0.3">
      <c r="A64" s="55" t="s">
        <v>59</v>
      </c>
      <c r="B64" s="59"/>
      <c r="C64" s="97">
        <f>B65+B66+B67</f>
        <v>617062.31000000006</v>
      </c>
      <c r="D64" s="57"/>
    </row>
    <row r="65" spans="1:4" s="15" customFormat="1" ht="13.5" customHeight="1" x14ac:dyDescent="0.25">
      <c r="A65" s="58" t="s">
        <v>60</v>
      </c>
      <c r="B65" s="67">
        <v>0</v>
      </c>
      <c r="C65" s="72"/>
      <c r="D65" s="57"/>
    </row>
    <row r="66" spans="1:4" s="15" customFormat="1" ht="13.5" customHeight="1" x14ac:dyDescent="0.25">
      <c r="A66" s="58" t="s">
        <v>61</v>
      </c>
      <c r="B66" s="67">
        <v>617062.31000000006</v>
      </c>
      <c r="C66" s="73"/>
      <c r="D66" s="57"/>
    </row>
    <row r="67" spans="1:4" s="15" customFormat="1" ht="13.5" customHeight="1" x14ac:dyDescent="0.25">
      <c r="A67" s="58" t="s">
        <v>62</v>
      </c>
      <c r="B67" s="67">
        <v>0</v>
      </c>
      <c r="C67" s="73"/>
      <c r="D67" s="57"/>
    </row>
    <row r="68" spans="1:4" s="15" customFormat="1" ht="13.5" customHeight="1" thickBot="1" x14ac:dyDescent="0.3">
      <c r="A68" s="55" t="s">
        <v>63</v>
      </c>
      <c r="B68" s="59"/>
      <c r="C68" s="64">
        <f>(B69)+(B70)</f>
        <v>10080504.360000003</v>
      </c>
      <c r="D68" s="57"/>
    </row>
    <row r="69" spans="1:4" s="15" customFormat="1" ht="24" x14ac:dyDescent="0.25">
      <c r="A69" s="58" t="s">
        <v>64</v>
      </c>
      <c r="B69" s="16">
        <v>35666762.280000001</v>
      </c>
      <c r="C69" s="59"/>
      <c r="D69" s="57"/>
    </row>
    <row r="70" spans="1:4" s="15" customFormat="1" ht="36" x14ac:dyDescent="0.25">
      <c r="A70" s="60" t="s">
        <v>65</v>
      </c>
      <c r="B70" s="110">
        <f>'Memória de cálculo Invest '!J59</f>
        <v>-25586257.919999998</v>
      </c>
      <c r="C70" s="62"/>
      <c r="D70" s="57"/>
    </row>
    <row r="71" spans="1:4" s="15" customFormat="1" ht="13.5" customHeight="1" x14ac:dyDescent="0.25">
      <c r="A71" s="55" t="s">
        <v>66</v>
      </c>
      <c r="B71" s="54"/>
      <c r="C71" s="109">
        <v>0</v>
      </c>
      <c r="D71" s="57"/>
    </row>
    <row r="72" spans="1:4" s="15" customFormat="1" ht="13.5" customHeight="1" thickBot="1" x14ac:dyDescent="0.3">
      <c r="A72" s="61" t="s">
        <v>67</v>
      </c>
      <c r="B72" s="62"/>
      <c r="C72" s="63">
        <f>C52</f>
        <v>11601468.260000002</v>
      </c>
      <c r="D72" s="57"/>
    </row>
    <row r="73" spans="1:4" s="17" customFormat="1" ht="15.75" customHeight="1" thickBot="1" x14ac:dyDescent="0.3">
      <c r="A73" s="148" t="s">
        <v>68</v>
      </c>
      <c r="B73" s="149"/>
      <c r="C73" s="63">
        <f>SUM(C58)-(C59)-(C60)-(C61)-(C62)+(C64)+(C68)+(C71)+(C72)</f>
        <v>41063134.930000007</v>
      </c>
      <c r="D73" s="30"/>
    </row>
    <row r="74" spans="1:4" ht="9" customHeight="1" x14ac:dyDescent="0.2">
      <c r="A74" s="3"/>
      <c r="B74" s="4"/>
      <c r="C74" s="4"/>
    </row>
  </sheetData>
  <sheetProtection password="D11B" sheet="1" formatCells="0" formatColumns="0" formatRows="0" insertColumns="0" insertRows="0" insertHyperlinks="0" deleteColumns="0" deleteRows="0"/>
  <mergeCells count="9">
    <mergeCell ref="A52:B52"/>
    <mergeCell ref="A17:C17"/>
    <mergeCell ref="A73:B73"/>
    <mergeCell ref="A57:C57"/>
    <mergeCell ref="A1:D1"/>
    <mergeCell ref="A2:D2"/>
    <mergeCell ref="A3:D3"/>
    <mergeCell ref="A8:B8"/>
    <mergeCell ref="A25:B25"/>
  </mergeCells>
  <pageMargins left="0.78740157480314965" right="0.23622047244094491" top="0.19685039370078741" bottom="0.19685039370078741" header="0.31496062992125984" footer="0.31496062992125984"/>
  <pageSetup paperSize="9" scale="8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showWhiteSpace="0" zoomScaleNormal="100" workbookViewId="0">
      <selection activeCell="G16" sqref="G16"/>
    </sheetView>
  </sheetViews>
  <sheetFormatPr defaultRowHeight="15" x14ac:dyDescent="0.25"/>
  <cols>
    <col min="1" max="1" width="58.42578125" style="98" bestFit="1" customWidth="1"/>
    <col min="2" max="2" width="15.7109375" style="100" bestFit="1" customWidth="1"/>
    <col min="3" max="3" width="8.85546875" style="98" customWidth="1"/>
    <col min="4" max="16384" width="9.140625" style="98"/>
  </cols>
  <sheetData>
    <row r="1" spans="1:3" x14ac:dyDescent="0.25">
      <c r="A1" s="152" t="s">
        <v>191</v>
      </c>
      <c r="B1" s="152"/>
      <c r="C1" s="152"/>
    </row>
    <row r="2" spans="1:3" x14ac:dyDescent="0.25">
      <c r="A2" s="152" t="s">
        <v>69</v>
      </c>
      <c r="B2" s="152"/>
      <c r="C2" s="152"/>
    </row>
    <row r="3" spans="1:3" x14ac:dyDescent="0.25">
      <c r="A3" s="152" t="s">
        <v>1</v>
      </c>
      <c r="B3" s="152"/>
      <c r="C3" s="152"/>
    </row>
    <row r="4" spans="1:3" ht="3" customHeight="1" x14ac:dyDescent="0.25">
      <c r="A4" s="119"/>
      <c r="B4" s="123"/>
      <c r="C4" s="119"/>
    </row>
    <row r="5" spans="1:3" ht="4.5" customHeight="1" x14ac:dyDescent="0.25">
      <c r="A5" s="119"/>
      <c r="B5" s="123"/>
      <c r="C5" s="124"/>
    </row>
    <row r="6" spans="1:3" x14ac:dyDescent="0.25">
      <c r="A6" s="125" t="s">
        <v>70</v>
      </c>
      <c r="B6" s="126" t="s">
        <v>71</v>
      </c>
      <c r="C6" s="127" t="s">
        <v>5</v>
      </c>
    </row>
    <row r="7" spans="1:3" x14ac:dyDescent="0.25">
      <c r="A7" s="128" t="s">
        <v>72</v>
      </c>
      <c r="B7" s="129">
        <f>B11</f>
        <v>57750</v>
      </c>
      <c r="C7" s="130">
        <f>C11</f>
        <v>2.769917022399156E-2</v>
      </c>
    </row>
    <row r="8" spans="1:3" x14ac:dyDescent="0.25">
      <c r="A8" s="131" t="s">
        <v>73</v>
      </c>
      <c r="B8" s="132">
        <v>57750</v>
      </c>
      <c r="C8" s="133">
        <f>B8/$B$51</f>
        <v>2.769917022399156E-2</v>
      </c>
    </row>
    <row r="9" spans="1:3" x14ac:dyDescent="0.25">
      <c r="A9" s="131" t="s">
        <v>74</v>
      </c>
      <c r="B9" s="132">
        <v>0</v>
      </c>
      <c r="C9" s="133">
        <f>B9/$B$51</f>
        <v>0</v>
      </c>
    </row>
    <row r="10" spans="1:3" x14ac:dyDescent="0.25">
      <c r="A10" s="131" t="s">
        <v>75</v>
      </c>
      <c r="B10" s="132">
        <v>0</v>
      </c>
      <c r="C10" s="133">
        <f>B10/$B$51</f>
        <v>0</v>
      </c>
    </row>
    <row r="11" spans="1:3" x14ac:dyDescent="0.25">
      <c r="A11" s="134" t="s">
        <v>3</v>
      </c>
      <c r="B11" s="135">
        <f>SUM(B8:B10)</f>
        <v>57750</v>
      </c>
      <c r="C11" s="136">
        <f>SUM(C8:C10)</f>
        <v>2.769917022399156E-2</v>
      </c>
    </row>
    <row r="12" spans="1:3" x14ac:dyDescent="0.25">
      <c r="A12" s="137" t="s">
        <v>76</v>
      </c>
      <c r="B12" s="138">
        <f>B13+B21</f>
        <v>512618.79000000004</v>
      </c>
      <c r="C12" s="130">
        <f>C20+C27</f>
        <v>0.24587212336323086</v>
      </c>
    </row>
    <row r="13" spans="1:3" x14ac:dyDescent="0.25">
      <c r="A13" s="134" t="s">
        <v>77</v>
      </c>
      <c r="B13" s="139">
        <f>B20</f>
        <v>10231.009999999998</v>
      </c>
      <c r="C13" s="136">
        <f t="shared" ref="C13:C19" si="0">B13/$B$51</f>
        <v>4.9071945896685685E-3</v>
      </c>
    </row>
    <row r="14" spans="1:3" x14ac:dyDescent="0.25">
      <c r="A14" s="131" t="s">
        <v>78</v>
      </c>
      <c r="B14" s="140">
        <v>2100</v>
      </c>
      <c r="C14" s="133">
        <f t="shared" si="0"/>
        <v>1.007242553599693E-3</v>
      </c>
    </row>
    <row r="15" spans="1:3" x14ac:dyDescent="0.25">
      <c r="A15" s="131" t="s">
        <v>79</v>
      </c>
      <c r="B15" s="140">
        <v>2037.12</v>
      </c>
      <c r="C15" s="133">
        <f t="shared" si="0"/>
        <v>9.7708283370905079E-4</v>
      </c>
    </row>
    <row r="16" spans="1:3" x14ac:dyDescent="0.25">
      <c r="A16" s="131" t="s">
        <v>80</v>
      </c>
      <c r="B16" s="140">
        <v>0</v>
      </c>
      <c r="C16" s="133">
        <f t="shared" si="0"/>
        <v>0</v>
      </c>
    </row>
    <row r="17" spans="1:3" x14ac:dyDescent="0.25">
      <c r="A17" s="131" t="s">
        <v>81</v>
      </c>
      <c r="B17" s="140">
        <v>2100</v>
      </c>
      <c r="C17" s="133">
        <f t="shared" si="0"/>
        <v>1.007242553599693E-3</v>
      </c>
    </row>
    <row r="18" spans="1:3" x14ac:dyDescent="0.25">
      <c r="A18" s="131" t="s">
        <v>82</v>
      </c>
      <c r="B18" s="140">
        <v>2100</v>
      </c>
      <c r="C18" s="133">
        <f t="shared" si="0"/>
        <v>1.007242553599693E-3</v>
      </c>
    </row>
    <row r="19" spans="1:3" x14ac:dyDescent="0.25">
      <c r="A19" s="131" t="s">
        <v>83</v>
      </c>
      <c r="B19" s="140">
        <f>1050+525+318.89</f>
        <v>1893.8899999999999</v>
      </c>
      <c r="C19" s="133">
        <f t="shared" si="0"/>
        <v>9.0838409516043924E-4</v>
      </c>
    </row>
    <row r="20" spans="1:3" x14ac:dyDescent="0.25">
      <c r="A20" s="134" t="s">
        <v>3</v>
      </c>
      <c r="B20" s="141">
        <f>SUM(B14:B19)</f>
        <v>10231.009999999998</v>
      </c>
      <c r="C20" s="136">
        <f>SUM(C14:C19)</f>
        <v>4.9071945896685693E-3</v>
      </c>
    </row>
    <row r="21" spans="1:3" x14ac:dyDescent="0.25">
      <c r="A21" s="134" t="s">
        <v>84</v>
      </c>
      <c r="B21" s="139">
        <f>B27</f>
        <v>502387.78</v>
      </c>
      <c r="C21" s="136">
        <f t="shared" ref="C21:C26" si="1">B21/$B$51</f>
        <v>0.24096492877356229</v>
      </c>
    </row>
    <row r="22" spans="1:3" x14ac:dyDescent="0.25">
      <c r="A22" s="131" t="s">
        <v>85</v>
      </c>
      <c r="B22" s="140">
        <f>68040+71400+30000</f>
        <v>169440</v>
      </c>
      <c r="C22" s="133">
        <f t="shared" si="1"/>
        <v>8.1270084896158085E-2</v>
      </c>
    </row>
    <row r="23" spans="1:3" x14ac:dyDescent="0.25">
      <c r="A23" s="131" t="s">
        <v>86</v>
      </c>
      <c r="B23" s="140">
        <v>1050</v>
      </c>
      <c r="C23" s="133">
        <f t="shared" si="1"/>
        <v>5.0362127679984649E-4</v>
      </c>
    </row>
    <row r="24" spans="1:3" x14ac:dyDescent="0.25">
      <c r="A24" s="131" t="s">
        <v>87</v>
      </c>
      <c r="B24" s="140">
        <f>84812.6+1574.48+5250+1657.87+86071.43+1627.29+2100+17850+8187.35+2350.96+48677.19+7252.15+4330.59+5662.87+16200</f>
        <v>293604.78000000003</v>
      </c>
      <c r="C24" s="133">
        <f t="shared" si="1"/>
        <v>0.14082439445536957</v>
      </c>
    </row>
    <row r="25" spans="1:3" x14ac:dyDescent="0.25">
      <c r="A25" s="131" t="s">
        <v>88</v>
      </c>
      <c r="B25" s="140">
        <v>0</v>
      </c>
      <c r="C25" s="133">
        <f t="shared" si="1"/>
        <v>0</v>
      </c>
    </row>
    <row r="26" spans="1:3" x14ac:dyDescent="0.25">
      <c r="A26" s="131" t="s">
        <v>89</v>
      </c>
      <c r="B26" s="140">
        <v>38293</v>
      </c>
      <c r="C26" s="133">
        <f t="shared" si="1"/>
        <v>1.8366828145234784E-2</v>
      </c>
    </row>
    <row r="27" spans="1:3" x14ac:dyDescent="0.25">
      <c r="A27" s="134" t="s">
        <v>3</v>
      </c>
      <c r="B27" s="142">
        <f>SUM(B22:B26)</f>
        <v>502387.78</v>
      </c>
      <c r="C27" s="136">
        <f>SUM(C22:C26)</f>
        <v>0.24096492877356229</v>
      </c>
    </row>
    <row r="28" spans="1:3" x14ac:dyDescent="0.25">
      <c r="A28" s="137" t="s">
        <v>90</v>
      </c>
      <c r="B28" s="138">
        <f>B32</f>
        <v>81005.31</v>
      </c>
      <c r="C28" s="130">
        <f>B28/$B$51</f>
        <v>3.8853331095016548E-2</v>
      </c>
    </row>
    <row r="29" spans="1:3" x14ac:dyDescent="0.25">
      <c r="A29" s="131" t="s">
        <v>91</v>
      </c>
      <c r="B29" s="140">
        <f>4328.56+44326.75+25000</f>
        <v>73655.31</v>
      </c>
      <c r="C29" s="133">
        <f>B29/$B$51</f>
        <v>3.5327982157417621E-2</v>
      </c>
    </row>
    <row r="30" spans="1:3" x14ac:dyDescent="0.25">
      <c r="A30" s="131" t="s">
        <v>92</v>
      </c>
      <c r="B30" s="140">
        <v>7350</v>
      </c>
      <c r="C30" s="133">
        <f>B30/$B$51</f>
        <v>3.5253489375989258E-3</v>
      </c>
    </row>
    <row r="31" spans="1:3" x14ac:dyDescent="0.25">
      <c r="A31" s="131" t="s">
        <v>93</v>
      </c>
      <c r="B31" s="140">
        <v>0</v>
      </c>
      <c r="C31" s="133">
        <f>B31/$B$51</f>
        <v>0</v>
      </c>
    </row>
    <row r="32" spans="1:3" x14ac:dyDescent="0.25">
      <c r="A32" s="134" t="s">
        <v>3</v>
      </c>
      <c r="B32" s="142">
        <f>SUM(B29:B31)</f>
        <v>81005.31</v>
      </c>
      <c r="C32" s="136">
        <f>SUM(C29:C31)</f>
        <v>3.8853331095016548E-2</v>
      </c>
    </row>
    <row r="33" spans="1:5" x14ac:dyDescent="0.25">
      <c r="A33" s="137" t="s">
        <v>94</v>
      </c>
      <c r="B33" s="138">
        <f>B50</f>
        <v>1433525.9</v>
      </c>
      <c r="C33" s="130">
        <f t="shared" ref="C33:C49" si="2">B33/$B$51</f>
        <v>0.68757537531776103</v>
      </c>
    </row>
    <row r="34" spans="1:5" x14ac:dyDescent="0.25">
      <c r="A34" s="131" t="s">
        <v>95</v>
      </c>
      <c r="B34" s="140">
        <f>661618.96-B39</f>
        <v>614695.96</v>
      </c>
      <c r="C34" s="133">
        <f t="shared" si="2"/>
        <v>0.29483234687514986</v>
      </c>
      <c r="E34" s="102"/>
    </row>
    <row r="35" spans="1:5" x14ac:dyDescent="0.25">
      <c r="A35" s="131" t="s">
        <v>96</v>
      </c>
      <c r="B35" s="140">
        <v>80196.240000000005</v>
      </c>
      <c r="C35" s="133">
        <f t="shared" si="2"/>
        <v>3.8465269317473259E-2</v>
      </c>
    </row>
    <row r="36" spans="1:5" x14ac:dyDescent="0.25">
      <c r="A36" s="131" t="s">
        <v>97</v>
      </c>
      <c r="B36" s="140">
        <v>60147.18</v>
      </c>
      <c r="C36" s="133">
        <f t="shared" si="2"/>
        <v>2.8848951988104946E-2</v>
      </c>
    </row>
    <row r="37" spans="1:5" x14ac:dyDescent="0.25">
      <c r="A37" s="131" t="s">
        <v>98</v>
      </c>
      <c r="B37" s="140">
        <v>0</v>
      </c>
      <c r="C37" s="133">
        <f t="shared" si="2"/>
        <v>0</v>
      </c>
    </row>
    <row r="38" spans="1:5" x14ac:dyDescent="0.25">
      <c r="A38" s="131" t="s">
        <v>99</v>
      </c>
      <c r="B38" s="140">
        <v>0</v>
      </c>
      <c r="C38" s="133">
        <f t="shared" si="2"/>
        <v>0</v>
      </c>
    </row>
    <row r="39" spans="1:5" x14ac:dyDescent="0.25">
      <c r="A39" s="131" t="s">
        <v>100</v>
      </c>
      <c r="B39" s="140">
        <f>(495.45+1120.89+1120.89+1173.02)*12</f>
        <v>46923.000000000007</v>
      </c>
      <c r="C39" s="133">
        <f t="shared" si="2"/>
        <v>2.2506115401218288E-2</v>
      </c>
    </row>
    <row r="40" spans="1:5" x14ac:dyDescent="0.25">
      <c r="A40" s="131" t="s">
        <v>101</v>
      </c>
      <c r="B40" s="140">
        <v>214925.92</v>
      </c>
      <c r="C40" s="133">
        <f t="shared" si="2"/>
        <v>0.10308692023598255</v>
      </c>
    </row>
    <row r="41" spans="1:5" x14ac:dyDescent="0.25">
      <c r="A41" s="131" t="s">
        <v>102</v>
      </c>
      <c r="B41" s="140">
        <v>8019.62</v>
      </c>
      <c r="C41" s="133">
        <f t="shared" si="2"/>
        <v>3.8465250131900809E-3</v>
      </c>
    </row>
    <row r="42" spans="1:5" x14ac:dyDescent="0.25">
      <c r="A42" s="131" t="s">
        <v>103</v>
      </c>
      <c r="B42" s="140">
        <v>64157</v>
      </c>
      <c r="C42" s="133">
        <f t="shared" si="2"/>
        <v>3.0772219291093098E-2</v>
      </c>
    </row>
    <row r="43" spans="1:5" x14ac:dyDescent="0.25">
      <c r="A43" s="131" t="s">
        <v>104</v>
      </c>
      <c r="B43" s="140">
        <v>114768</v>
      </c>
      <c r="C43" s="133">
        <f t="shared" si="2"/>
        <v>5.5047244472156941E-2</v>
      </c>
    </row>
    <row r="44" spans="1:5" x14ac:dyDescent="0.25">
      <c r="A44" s="131" t="s">
        <v>105</v>
      </c>
      <c r="B44" s="140">
        <v>218349.05</v>
      </c>
      <c r="C44" s="133">
        <f t="shared" si="2"/>
        <v>0.1047287879514605</v>
      </c>
    </row>
    <row r="45" spans="1:5" x14ac:dyDescent="0.25">
      <c r="A45" s="131" t="s">
        <v>106</v>
      </c>
      <c r="B45" s="140">
        <v>2943.93</v>
      </c>
      <c r="C45" s="133">
        <f t="shared" si="2"/>
        <v>1.4120245575327353E-3</v>
      </c>
    </row>
    <row r="46" spans="1:5" x14ac:dyDescent="0.25">
      <c r="A46" s="131" t="s">
        <v>107</v>
      </c>
      <c r="B46" s="140">
        <v>0</v>
      </c>
      <c r="C46" s="133">
        <f t="shared" si="2"/>
        <v>0</v>
      </c>
    </row>
    <row r="47" spans="1:5" x14ac:dyDescent="0.25">
      <c r="A47" s="131" t="s">
        <v>108</v>
      </c>
      <c r="B47" s="140">
        <v>0</v>
      </c>
      <c r="C47" s="133">
        <f t="shared" si="2"/>
        <v>0</v>
      </c>
    </row>
    <row r="48" spans="1:5" x14ac:dyDescent="0.25">
      <c r="A48" s="131" t="s">
        <v>109</v>
      </c>
      <c r="B48" s="140">
        <v>3150</v>
      </c>
      <c r="C48" s="133">
        <f t="shared" si="2"/>
        <v>1.5108638303995396E-3</v>
      </c>
    </row>
    <row r="49" spans="1:3" x14ac:dyDescent="0.25">
      <c r="A49" s="131" t="s">
        <v>110</v>
      </c>
      <c r="B49" s="140">
        <v>5250</v>
      </c>
      <c r="C49" s="133">
        <f t="shared" si="2"/>
        <v>2.5181063839992326E-3</v>
      </c>
    </row>
    <row r="50" spans="1:3" x14ac:dyDescent="0.25">
      <c r="A50" s="134" t="s">
        <v>3</v>
      </c>
      <c r="B50" s="140">
        <f>SUM(B34:B49)</f>
        <v>1433525.9</v>
      </c>
      <c r="C50" s="136">
        <f>SUM(C34:C49)</f>
        <v>0.68757537531776092</v>
      </c>
    </row>
    <row r="51" spans="1:3" x14ac:dyDescent="0.25">
      <c r="A51" s="125" t="s">
        <v>111</v>
      </c>
      <c r="B51" s="143">
        <f>B7+B12+B28+B33</f>
        <v>2084900</v>
      </c>
      <c r="C51" s="144">
        <f>C7+C12+C28+C33</f>
        <v>1</v>
      </c>
    </row>
    <row r="52" spans="1:3" x14ac:dyDescent="0.25">
      <c r="A52" s="99"/>
      <c r="C52" s="99"/>
    </row>
  </sheetData>
  <mergeCells count="3">
    <mergeCell ref="A1:C1"/>
    <mergeCell ref="A2:C2"/>
    <mergeCell ref="A3:C3"/>
  </mergeCells>
  <pageMargins left="1.1811023622047245" right="0.23622047244094491" top="0.74803149606299213" bottom="0.74803149606299213" header="0.31496062992125984" footer="0.31496062992125984"/>
  <pageSetup paperSize="9"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9"/>
  <sheetViews>
    <sheetView tabSelected="1" zoomScaleNormal="100" workbookViewId="0">
      <selection activeCell="O13" sqref="O13"/>
    </sheetView>
  </sheetViews>
  <sheetFormatPr defaultRowHeight="15" x14ac:dyDescent="0.25"/>
  <cols>
    <col min="1" max="1" width="19.5703125" customWidth="1"/>
    <col min="2" max="2" width="9.7109375" customWidth="1"/>
    <col min="3" max="3" width="11.7109375" customWidth="1"/>
    <col min="4" max="5" width="10.7109375" customWidth="1"/>
    <col min="6" max="11" width="17.7109375" customWidth="1"/>
  </cols>
  <sheetData>
    <row r="1" spans="1:11" x14ac:dyDescent="0.25">
      <c r="A1" s="161" t="s">
        <v>192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x14ac:dyDescent="0.25">
      <c r="A2" s="152" t="s">
        <v>112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1" ht="15" customHeight="1" x14ac:dyDescent="0.25">
      <c r="A3" s="161" t="s">
        <v>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 ht="15" customHeight="1" thickBo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5" customHeight="1" x14ac:dyDescent="0.25">
      <c r="A5" s="162" t="s">
        <v>113</v>
      </c>
      <c r="B5" s="163"/>
      <c r="C5" s="163"/>
      <c r="D5" s="163"/>
      <c r="E5" s="163"/>
      <c r="F5" s="163"/>
      <c r="G5" s="163"/>
      <c r="H5" s="163"/>
      <c r="I5" s="163"/>
      <c r="J5" s="163"/>
      <c r="K5" s="164"/>
    </row>
    <row r="6" spans="1:11" ht="21.75" customHeight="1" x14ac:dyDescent="0.25">
      <c r="A6" s="84" t="s">
        <v>114</v>
      </c>
      <c r="B6" s="154" t="s">
        <v>115</v>
      </c>
      <c r="C6" s="154"/>
      <c r="D6" s="154"/>
      <c r="E6" s="154"/>
      <c r="F6" s="154" t="s">
        <v>116</v>
      </c>
      <c r="G6" s="154"/>
      <c r="H6" s="154" t="s">
        <v>117</v>
      </c>
      <c r="I6" s="154"/>
      <c r="J6" s="154"/>
      <c r="K6" s="93" t="s">
        <v>116</v>
      </c>
    </row>
    <row r="7" spans="1:11" x14ac:dyDescent="0.25">
      <c r="A7" s="85" t="s">
        <v>118</v>
      </c>
      <c r="B7" s="159" t="s">
        <v>119</v>
      </c>
      <c r="C7" s="159"/>
      <c r="D7" s="159"/>
      <c r="E7" s="159"/>
      <c r="F7" s="159" t="s">
        <v>119</v>
      </c>
      <c r="G7" s="159"/>
      <c r="H7" s="159" t="s">
        <v>120</v>
      </c>
      <c r="I7" s="159"/>
      <c r="J7" s="159"/>
      <c r="K7" s="94" t="s">
        <v>121</v>
      </c>
    </row>
    <row r="8" spans="1:11" x14ac:dyDescent="0.25">
      <c r="A8" s="85" t="s">
        <v>122</v>
      </c>
      <c r="B8" s="159" t="s">
        <v>123</v>
      </c>
      <c r="C8" s="159"/>
      <c r="D8" s="159"/>
      <c r="E8" s="159"/>
      <c r="F8" s="159" t="s">
        <v>124</v>
      </c>
      <c r="G8" s="159"/>
      <c r="H8" s="159" t="s">
        <v>125</v>
      </c>
      <c r="I8" s="159"/>
      <c r="J8" s="159"/>
      <c r="K8" s="94" t="s">
        <v>121</v>
      </c>
    </row>
    <row r="9" spans="1:11" x14ac:dyDescent="0.25">
      <c r="A9" s="85" t="s">
        <v>126</v>
      </c>
      <c r="B9" s="159" t="s">
        <v>119</v>
      </c>
      <c r="C9" s="159"/>
      <c r="D9" s="159"/>
      <c r="E9" s="159"/>
      <c r="F9" s="159" t="s">
        <v>119</v>
      </c>
      <c r="G9" s="159"/>
      <c r="H9" s="159" t="s">
        <v>125</v>
      </c>
      <c r="I9" s="159"/>
      <c r="J9" s="159"/>
      <c r="K9" s="94" t="s">
        <v>121</v>
      </c>
    </row>
    <row r="10" spans="1:11" x14ac:dyDescent="0.25">
      <c r="A10" s="86" t="s">
        <v>127</v>
      </c>
      <c r="B10" s="159" t="s">
        <v>128</v>
      </c>
      <c r="C10" s="159"/>
      <c r="D10" s="159"/>
      <c r="E10" s="159"/>
      <c r="F10" s="159" t="s">
        <v>124</v>
      </c>
      <c r="G10" s="159"/>
      <c r="H10" s="159" t="s">
        <v>128</v>
      </c>
      <c r="I10" s="159"/>
      <c r="J10" s="159"/>
      <c r="K10" s="94" t="s">
        <v>124</v>
      </c>
    </row>
    <row r="11" spans="1:11" ht="15.75" thickBot="1" x14ac:dyDescent="0.3">
      <c r="A11" s="87" t="s">
        <v>129</v>
      </c>
      <c r="B11" s="160" t="s">
        <v>130</v>
      </c>
      <c r="C11" s="160"/>
      <c r="D11" s="160"/>
      <c r="E11" s="160"/>
      <c r="F11" s="160" t="s">
        <v>124</v>
      </c>
      <c r="G11" s="160"/>
      <c r="H11" s="160" t="s">
        <v>119</v>
      </c>
      <c r="I11" s="160"/>
      <c r="J11" s="160"/>
      <c r="K11" s="95" t="s">
        <v>119</v>
      </c>
    </row>
    <row r="12" spans="1:1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11.25" customHeight="1" x14ac:dyDescent="0.25"/>
    <row r="14" spans="1:11" ht="11.25" customHeight="1" thickBot="1" x14ac:dyDescent="0.3"/>
    <row r="15" spans="1:11" ht="37.5" customHeight="1" x14ac:dyDescent="0.25">
      <c r="A15" s="88" t="s">
        <v>131</v>
      </c>
      <c r="B15" s="89" t="s">
        <v>132</v>
      </c>
      <c r="C15" s="89" t="s">
        <v>133</v>
      </c>
      <c r="D15" s="89" t="s">
        <v>134</v>
      </c>
      <c r="E15" s="89" t="s">
        <v>135</v>
      </c>
      <c r="F15" s="89" t="s">
        <v>136</v>
      </c>
      <c r="G15" s="89" t="s">
        <v>137</v>
      </c>
      <c r="H15" s="89" t="s">
        <v>138</v>
      </c>
      <c r="I15" s="89" t="s">
        <v>139</v>
      </c>
      <c r="J15" s="89" t="s">
        <v>140</v>
      </c>
      <c r="K15" s="90" t="s">
        <v>141</v>
      </c>
    </row>
    <row r="16" spans="1:11" ht="21" customHeight="1" x14ac:dyDescent="0.25">
      <c r="A16" s="91" t="s">
        <v>142</v>
      </c>
      <c r="B16" s="105" t="s">
        <v>119</v>
      </c>
      <c r="C16" s="12" t="s">
        <v>118</v>
      </c>
      <c r="D16" s="105" t="s">
        <v>119</v>
      </c>
      <c r="E16" s="105" t="s">
        <v>119</v>
      </c>
      <c r="F16" s="14">
        <v>300716.71999999997</v>
      </c>
      <c r="G16" s="106" t="s">
        <v>119</v>
      </c>
      <c r="H16" s="106" t="s">
        <v>119</v>
      </c>
      <c r="I16" s="106" t="s">
        <v>119</v>
      </c>
      <c r="J16" s="14">
        <v>0</v>
      </c>
      <c r="K16" s="92">
        <f>F16</f>
        <v>300716.71999999997</v>
      </c>
    </row>
    <row r="17" spans="1:11" ht="21" customHeight="1" x14ac:dyDescent="0.25">
      <c r="A17" s="91" t="s">
        <v>143</v>
      </c>
      <c r="B17" s="105" t="s">
        <v>119</v>
      </c>
      <c r="C17" s="12" t="s">
        <v>118</v>
      </c>
      <c r="D17" s="106" t="s">
        <v>119</v>
      </c>
      <c r="E17" s="106" t="s">
        <v>119</v>
      </c>
      <c r="F17" s="14">
        <v>255786</v>
      </c>
      <c r="G17" s="106" t="s">
        <v>119</v>
      </c>
      <c r="H17" s="106" t="s">
        <v>119</v>
      </c>
      <c r="I17" s="106" t="s">
        <v>119</v>
      </c>
      <c r="J17" s="14">
        <v>0</v>
      </c>
      <c r="K17" s="92">
        <f t="shared" ref="K17:K53" si="0">F17</f>
        <v>255786</v>
      </c>
    </row>
    <row r="18" spans="1:11" ht="21" customHeight="1" x14ac:dyDescent="0.25">
      <c r="A18" s="91" t="s">
        <v>144</v>
      </c>
      <c r="B18" s="105" t="s">
        <v>119</v>
      </c>
      <c r="C18" s="12" t="s">
        <v>118</v>
      </c>
      <c r="D18" s="106" t="s">
        <v>119</v>
      </c>
      <c r="E18" s="106" t="s">
        <v>119</v>
      </c>
      <c r="F18" s="14">
        <v>298832.5</v>
      </c>
      <c r="G18" s="106" t="s">
        <v>119</v>
      </c>
      <c r="H18" s="106" t="s">
        <v>119</v>
      </c>
      <c r="I18" s="106" t="s">
        <v>119</v>
      </c>
      <c r="J18" s="14">
        <v>0</v>
      </c>
      <c r="K18" s="92">
        <f t="shared" si="0"/>
        <v>298832.5</v>
      </c>
    </row>
    <row r="19" spans="1:11" ht="21" customHeight="1" x14ac:dyDescent="0.25">
      <c r="A19" s="91" t="s">
        <v>145</v>
      </c>
      <c r="B19" s="105" t="s">
        <v>119</v>
      </c>
      <c r="C19" s="12" t="s">
        <v>118</v>
      </c>
      <c r="D19" s="106" t="s">
        <v>119</v>
      </c>
      <c r="E19" s="106" t="s">
        <v>119</v>
      </c>
      <c r="F19" s="14">
        <v>212194.1</v>
      </c>
      <c r="G19" s="106" t="s">
        <v>119</v>
      </c>
      <c r="H19" s="106" t="s">
        <v>119</v>
      </c>
      <c r="I19" s="106" t="s">
        <v>119</v>
      </c>
      <c r="J19" s="14">
        <v>0</v>
      </c>
      <c r="K19" s="92">
        <f t="shared" si="0"/>
        <v>212194.1</v>
      </c>
    </row>
    <row r="20" spans="1:11" ht="21" customHeight="1" x14ac:dyDescent="0.25">
      <c r="A20" s="91" t="s">
        <v>146</v>
      </c>
      <c r="B20" s="105" t="s">
        <v>119</v>
      </c>
      <c r="C20" s="12" t="s">
        <v>118</v>
      </c>
      <c r="D20" s="106" t="s">
        <v>119</v>
      </c>
      <c r="E20" s="106" t="s">
        <v>119</v>
      </c>
      <c r="F20" s="14">
        <v>322084.96000000002</v>
      </c>
      <c r="G20" s="106" t="s">
        <v>119</v>
      </c>
      <c r="H20" s="106" t="s">
        <v>119</v>
      </c>
      <c r="I20" s="106" t="s">
        <v>119</v>
      </c>
      <c r="J20" s="14">
        <v>0</v>
      </c>
      <c r="K20" s="92">
        <f t="shared" si="0"/>
        <v>322084.96000000002</v>
      </c>
    </row>
    <row r="21" spans="1:11" ht="21" customHeight="1" x14ac:dyDescent="0.25">
      <c r="A21" s="91" t="s">
        <v>147</v>
      </c>
      <c r="B21" s="105" t="s">
        <v>119</v>
      </c>
      <c r="C21" s="12" t="s">
        <v>118</v>
      </c>
      <c r="D21" s="106" t="s">
        <v>119</v>
      </c>
      <c r="E21" s="106" t="s">
        <v>119</v>
      </c>
      <c r="F21" s="14">
        <v>424130.56</v>
      </c>
      <c r="G21" s="106" t="s">
        <v>119</v>
      </c>
      <c r="H21" s="106" t="s">
        <v>119</v>
      </c>
      <c r="I21" s="106" t="s">
        <v>119</v>
      </c>
      <c r="J21" s="14">
        <v>0</v>
      </c>
      <c r="K21" s="92">
        <f t="shared" si="0"/>
        <v>424130.56</v>
      </c>
    </row>
    <row r="22" spans="1:11" ht="21" customHeight="1" x14ac:dyDescent="0.25">
      <c r="A22" s="91" t="s">
        <v>148</v>
      </c>
      <c r="B22" s="105" t="s">
        <v>119</v>
      </c>
      <c r="C22" s="12" t="s">
        <v>118</v>
      </c>
      <c r="D22" s="106" t="s">
        <v>119</v>
      </c>
      <c r="E22" s="106" t="s">
        <v>119</v>
      </c>
      <c r="F22" s="14">
        <v>245414.88</v>
      </c>
      <c r="G22" s="106" t="s">
        <v>119</v>
      </c>
      <c r="H22" s="106" t="s">
        <v>119</v>
      </c>
      <c r="I22" s="106" t="s">
        <v>119</v>
      </c>
      <c r="J22" s="14">
        <v>0</v>
      </c>
      <c r="K22" s="92">
        <f t="shared" si="0"/>
        <v>245414.88</v>
      </c>
    </row>
    <row r="23" spans="1:11" ht="21" customHeight="1" x14ac:dyDescent="0.25">
      <c r="A23" s="91" t="s">
        <v>149</v>
      </c>
      <c r="B23" s="105" t="s">
        <v>119</v>
      </c>
      <c r="C23" s="12" t="s">
        <v>118</v>
      </c>
      <c r="D23" s="106" t="s">
        <v>119</v>
      </c>
      <c r="E23" s="106" t="s">
        <v>119</v>
      </c>
      <c r="F23" s="14">
        <v>562984.38</v>
      </c>
      <c r="G23" s="106" t="s">
        <v>119</v>
      </c>
      <c r="H23" s="106" t="s">
        <v>119</v>
      </c>
      <c r="I23" s="106" t="s">
        <v>119</v>
      </c>
      <c r="J23" s="14">
        <v>0</v>
      </c>
      <c r="K23" s="92">
        <f t="shared" si="0"/>
        <v>562984.38</v>
      </c>
    </row>
    <row r="24" spans="1:11" ht="21" customHeight="1" x14ac:dyDescent="0.25">
      <c r="A24" s="91" t="s">
        <v>150</v>
      </c>
      <c r="B24" s="105" t="s">
        <v>119</v>
      </c>
      <c r="C24" s="12" t="s">
        <v>118</v>
      </c>
      <c r="D24" s="106" t="s">
        <v>119</v>
      </c>
      <c r="E24" s="106" t="s">
        <v>119</v>
      </c>
      <c r="F24" s="14">
        <v>258845.88</v>
      </c>
      <c r="G24" s="106" t="s">
        <v>119</v>
      </c>
      <c r="H24" s="106" t="s">
        <v>119</v>
      </c>
      <c r="I24" s="106" t="s">
        <v>119</v>
      </c>
      <c r="J24" s="14">
        <v>0</v>
      </c>
      <c r="K24" s="92">
        <f t="shared" si="0"/>
        <v>258845.88</v>
      </c>
    </row>
    <row r="25" spans="1:11" ht="21" customHeight="1" x14ac:dyDescent="0.25">
      <c r="A25" s="91" t="s">
        <v>151</v>
      </c>
      <c r="B25" s="105" t="s">
        <v>119</v>
      </c>
      <c r="C25" s="12" t="s">
        <v>118</v>
      </c>
      <c r="D25" s="106" t="s">
        <v>119</v>
      </c>
      <c r="E25" s="106" t="s">
        <v>119</v>
      </c>
      <c r="F25" s="14">
        <v>402610.34</v>
      </c>
      <c r="G25" s="106" t="s">
        <v>119</v>
      </c>
      <c r="H25" s="106" t="s">
        <v>119</v>
      </c>
      <c r="I25" s="106" t="s">
        <v>119</v>
      </c>
      <c r="J25" s="14">
        <v>0</v>
      </c>
      <c r="K25" s="92">
        <f t="shared" si="0"/>
        <v>402610.34</v>
      </c>
    </row>
    <row r="26" spans="1:11" ht="21" customHeight="1" x14ac:dyDescent="0.25">
      <c r="A26" s="91" t="s">
        <v>152</v>
      </c>
      <c r="B26" s="105" t="s">
        <v>119</v>
      </c>
      <c r="C26" s="12" t="s">
        <v>118</v>
      </c>
      <c r="D26" s="106" t="s">
        <v>119</v>
      </c>
      <c r="E26" s="106" t="s">
        <v>119</v>
      </c>
      <c r="F26" s="14">
        <v>230563.3</v>
      </c>
      <c r="G26" s="106" t="s">
        <v>119</v>
      </c>
      <c r="H26" s="106" t="s">
        <v>119</v>
      </c>
      <c r="I26" s="106" t="s">
        <v>119</v>
      </c>
      <c r="J26" s="14">
        <v>0</v>
      </c>
      <c r="K26" s="92">
        <f t="shared" si="0"/>
        <v>230563.3</v>
      </c>
    </row>
    <row r="27" spans="1:11" ht="21" customHeight="1" x14ac:dyDescent="0.25">
      <c r="A27" s="91" t="s">
        <v>153</v>
      </c>
      <c r="B27" s="105" t="s">
        <v>119</v>
      </c>
      <c r="C27" s="12" t="s">
        <v>118</v>
      </c>
      <c r="D27" s="106" t="s">
        <v>119</v>
      </c>
      <c r="E27" s="106" t="s">
        <v>119</v>
      </c>
      <c r="F27" s="14">
        <v>381910.1</v>
      </c>
      <c r="G27" s="106" t="s">
        <v>119</v>
      </c>
      <c r="H27" s="106" t="s">
        <v>119</v>
      </c>
      <c r="I27" s="106" t="s">
        <v>119</v>
      </c>
      <c r="J27" s="14">
        <v>0</v>
      </c>
      <c r="K27" s="92">
        <f t="shared" si="0"/>
        <v>381910.1</v>
      </c>
    </row>
    <row r="28" spans="1:11" ht="21" customHeight="1" x14ac:dyDescent="0.25">
      <c r="A28" s="91" t="s">
        <v>154</v>
      </c>
      <c r="B28" s="105" t="s">
        <v>119</v>
      </c>
      <c r="C28" s="12" t="s">
        <v>118</v>
      </c>
      <c r="D28" s="106" t="s">
        <v>119</v>
      </c>
      <c r="E28" s="106" t="s">
        <v>119</v>
      </c>
      <c r="F28" s="14">
        <v>254998.47</v>
      </c>
      <c r="G28" s="106" t="s">
        <v>119</v>
      </c>
      <c r="H28" s="106" t="s">
        <v>119</v>
      </c>
      <c r="I28" s="106" t="s">
        <v>119</v>
      </c>
      <c r="J28" s="14">
        <v>0</v>
      </c>
      <c r="K28" s="92">
        <f t="shared" si="0"/>
        <v>254998.47</v>
      </c>
    </row>
    <row r="29" spans="1:11" ht="21" customHeight="1" x14ac:dyDescent="0.25">
      <c r="A29" s="91" t="s">
        <v>155</v>
      </c>
      <c r="B29" s="105" t="s">
        <v>119</v>
      </c>
      <c r="C29" s="12" t="s">
        <v>118</v>
      </c>
      <c r="D29" s="106" t="s">
        <v>119</v>
      </c>
      <c r="E29" s="106" t="s">
        <v>119</v>
      </c>
      <c r="F29" s="14">
        <v>424443.33</v>
      </c>
      <c r="G29" s="106" t="s">
        <v>119</v>
      </c>
      <c r="H29" s="106" t="s">
        <v>119</v>
      </c>
      <c r="I29" s="106" t="s">
        <v>119</v>
      </c>
      <c r="J29" s="14">
        <v>0</v>
      </c>
      <c r="K29" s="92">
        <f t="shared" si="0"/>
        <v>424443.33</v>
      </c>
    </row>
    <row r="30" spans="1:11" ht="21" customHeight="1" x14ac:dyDescent="0.25">
      <c r="A30" s="91" t="s">
        <v>156</v>
      </c>
      <c r="B30" s="105" t="s">
        <v>119</v>
      </c>
      <c r="C30" s="12" t="s">
        <v>118</v>
      </c>
      <c r="D30" s="106" t="s">
        <v>119</v>
      </c>
      <c r="E30" s="106" t="s">
        <v>119</v>
      </c>
      <c r="F30" s="14">
        <v>297509.23</v>
      </c>
      <c r="G30" s="106" t="s">
        <v>119</v>
      </c>
      <c r="H30" s="106" t="s">
        <v>119</v>
      </c>
      <c r="I30" s="106" t="s">
        <v>119</v>
      </c>
      <c r="J30" s="14">
        <v>0</v>
      </c>
      <c r="K30" s="92">
        <f t="shared" si="0"/>
        <v>297509.23</v>
      </c>
    </row>
    <row r="31" spans="1:11" ht="21" customHeight="1" x14ac:dyDescent="0.25">
      <c r="A31" s="91" t="s">
        <v>157</v>
      </c>
      <c r="B31" s="105" t="s">
        <v>119</v>
      </c>
      <c r="C31" s="12" t="s">
        <v>118</v>
      </c>
      <c r="D31" s="106" t="s">
        <v>119</v>
      </c>
      <c r="E31" s="106" t="s">
        <v>119</v>
      </c>
      <c r="F31" s="14">
        <v>155907.70000000001</v>
      </c>
      <c r="G31" s="106" t="s">
        <v>119</v>
      </c>
      <c r="H31" s="106" t="s">
        <v>119</v>
      </c>
      <c r="I31" s="106" t="s">
        <v>119</v>
      </c>
      <c r="J31" s="14">
        <v>0</v>
      </c>
      <c r="K31" s="92">
        <f t="shared" si="0"/>
        <v>155907.70000000001</v>
      </c>
    </row>
    <row r="32" spans="1:11" ht="21" customHeight="1" x14ac:dyDescent="0.25">
      <c r="A32" s="91" t="s">
        <v>158</v>
      </c>
      <c r="B32" s="105" t="s">
        <v>119</v>
      </c>
      <c r="C32" s="12" t="s">
        <v>118</v>
      </c>
      <c r="D32" s="106" t="s">
        <v>119</v>
      </c>
      <c r="E32" s="106" t="s">
        <v>119</v>
      </c>
      <c r="F32" s="14">
        <v>151009.69</v>
      </c>
      <c r="G32" s="106" t="s">
        <v>119</v>
      </c>
      <c r="H32" s="106" t="s">
        <v>119</v>
      </c>
      <c r="I32" s="106" t="s">
        <v>119</v>
      </c>
      <c r="J32" s="14">
        <v>0</v>
      </c>
      <c r="K32" s="92">
        <f t="shared" si="0"/>
        <v>151009.69</v>
      </c>
    </row>
    <row r="33" spans="1:11" ht="21" customHeight="1" x14ac:dyDescent="0.25">
      <c r="A33" s="91" t="s">
        <v>159</v>
      </c>
      <c r="B33" s="105" t="s">
        <v>119</v>
      </c>
      <c r="C33" s="12" t="s">
        <v>118</v>
      </c>
      <c r="D33" s="106" t="s">
        <v>119</v>
      </c>
      <c r="E33" s="106" t="s">
        <v>119</v>
      </c>
      <c r="F33" s="14">
        <v>245723.24</v>
      </c>
      <c r="G33" s="106" t="s">
        <v>119</v>
      </c>
      <c r="H33" s="106" t="s">
        <v>119</v>
      </c>
      <c r="I33" s="106" t="s">
        <v>119</v>
      </c>
      <c r="J33" s="14">
        <v>0</v>
      </c>
      <c r="K33" s="92">
        <f t="shared" si="0"/>
        <v>245723.24</v>
      </c>
    </row>
    <row r="34" spans="1:11" ht="21" customHeight="1" x14ac:dyDescent="0.25">
      <c r="A34" s="91" t="s">
        <v>160</v>
      </c>
      <c r="B34" s="105" t="s">
        <v>119</v>
      </c>
      <c r="C34" s="12" t="s">
        <v>118</v>
      </c>
      <c r="D34" s="106" t="s">
        <v>119</v>
      </c>
      <c r="E34" s="106" t="s">
        <v>119</v>
      </c>
      <c r="F34" s="14">
        <v>486116.03</v>
      </c>
      <c r="G34" s="106" t="s">
        <v>119</v>
      </c>
      <c r="H34" s="106" t="s">
        <v>119</v>
      </c>
      <c r="I34" s="106" t="s">
        <v>119</v>
      </c>
      <c r="J34" s="14">
        <v>0</v>
      </c>
      <c r="K34" s="92">
        <f t="shared" si="0"/>
        <v>486116.03</v>
      </c>
    </row>
    <row r="35" spans="1:11" ht="21" customHeight="1" x14ac:dyDescent="0.25">
      <c r="A35" s="91" t="s">
        <v>161</v>
      </c>
      <c r="B35" s="105" t="s">
        <v>119</v>
      </c>
      <c r="C35" s="12" t="s">
        <v>118</v>
      </c>
      <c r="D35" s="106" t="s">
        <v>119</v>
      </c>
      <c r="E35" s="106" t="s">
        <v>119</v>
      </c>
      <c r="F35" s="14">
        <v>229033.08</v>
      </c>
      <c r="G35" s="106" t="s">
        <v>119</v>
      </c>
      <c r="H35" s="106" t="s">
        <v>119</v>
      </c>
      <c r="I35" s="106" t="s">
        <v>119</v>
      </c>
      <c r="J35" s="14">
        <v>0</v>
      </c>
      <c r="K35" s="92">
        <f t="shared" si="0"/>
        <v>229033.08</v>
      </c>
    </row>
    <row r="36" spans="1:11" ht="21" customHeight="1" x14ac:dyDescent="0.25">
      <c r="A36" s="91" t="s">
        <v>162</v>
      </c>
      <c r="B36" s="105" t="s">
        <v>119</v>
      </c>
      <c r="C36" s="12" t="s">
        <v>118</v>
      </c>
      <c r="D36" s="106" t="s">
        <v>119</v>
      </c>
      <c r="E36" s="106" t="s">
        <v>119</v>
      </c>
      <c r="F36" s="14">
        <v>198740.64</v>
      </c>
      <c r="G36" s="106" t="s">
        <v>119</v>
      </c>
      <c r="H36" s="106" t="s">
        <v>119</v>
      </c>
      <c r="I36" s="106" t="s">
        <v>119</v>
      </c>
      <c r="J36" s="14">
        <v>0</v>
      </c>
      <c r="K36" s="92">
        <f t="shared" si="0"/>
        <v>198740.64</v>
      </c>
    </row>
    <row r="37" spans="1:11" ht="21" customHeight="1" x14ac:dyDescent="0.25">
      <c r="A37" s="91" t="s">
        <v>163</v>
      </c>
      <c r="B37" s="105" t="s">
        <v>119</v>
      </c>
      <c r="C37" s="12" t="s">
        <v>118</v>
      </c>
      <c r="D37" s="106" t="s">
        <v>119</v>
      </c>
      <c r="E37" s="106" t="s">
        <v>119</v>
      </c>
      <c r="F37" s="14">
        <v>234660.46</v>
      </c>
      <c r="G37" s="106" t="s">
        <v>119</v>
      </c>
      <c r="H37" s="106" t="s">
        <v>119</v>
      </c>
      <c r="I37" s="106" t="s">
        <v>119</v>
      </c>
      <c r="J37" s="14">
        <v>0</v>
      </c>
      <c r="K37" s="92">
        <f t="shared" si="0"/>
        <v>234660.46</v>
      </c>
    </row>
    <row r="38" spans="1:11" ht="21" customHeight="1" x14ac:dyDescent="0.25">
      <c r="A38" s="91" t="s">
        <v>164</v>
      </c>
      <c r="B38" s="105" t="s">
        <v>119</v>
      </c>
      <c r="C38" s="12" t="s">
        <v>118</v>
      </c>
      <c r="D38" s="106" t="s">
        <v>119</v>
      </c>
      <c r="E38" s="106" t="s">
        <v>119</v>
      </c>
      <c r="F38" s="14">
        <v>259603.81</v>
      </c>
      <c r="G38" s="106" t="s">
        <v>119</v>
      </c>
      <c r="H38" s="106" t="s">
        <v>119</v>
      </c>
      <c r="I38" s="106" t="s">
        <v>119</v>
      </c>
      <c r="J38" s="14">
        <v>0</v>
      </c>
      <c r="K38" s="92">
        <f t="shared" si="0"/>
        <v>259603.81</v>
      </c>
    </row>
    <row r="39" spans="1:11" ht="21" customHeight="1" x14ac:dyDescent="0.25">
      <c r="A39" s="91" t="s">
        <v>165</v>
      </c>
      <c r="B39" s="105" t="s">
        <v>119</v>
      </c>
      <c r="C39" s="12" t="s">
        <v>118</v>
      </c>
      <c r="D39" s="106" t="s">
        <v>119</v>
      </c>
      <c r="E39" s="106" t="s">
        <v>119</v>
      </c>
      <c r="F39" s="14">
        <v>162322.79999999999</v>
      </c>
      <c r="G39" s="106" t="s">
        <v>119</v>
      </c>
      <c r="H39" s="106" t="s">
        <v>119</v>
      </c>
      <c r="I39" s="106" t="s">
        <v>119</v>
      </c>
      <c r="J39" s="14">
        <v>0</v>
      </c>
      <c r="K39" s="92">
        <f t="shared" si="0"/>
        <v>162322.79999999999</v>
      </c>
    </row>
    <row r="40" spans="1:11" ht="21" customHeight="1" x14ac:dyDescent="0.25">
      <c r="A40" s="91" t="s">
        <v>166</v>
      </c>
      <c r="B40" s="105" t="s">
        <v>119</v>
      </c>
      <c r="C40" s="12" t="s">
        <v>118</v>
      </c>
      <c r="D40" s="106" t="s">
        <v>119</v>
      </c>
      <c r="E40" s="106" t="s">
        <v>119</v>
      </c>
      <c r="F40" s="14">
        <v>318966.05</v>
      </c>
      <c r="G40" s="106" t="s">
        <v>119</v>
      </c>
      <c r="H40" s="106" t="s">
        <v>119</v>
      </c>
      <c r="I40" s="106" t="s">
        <v>119</v>
      </c>
      <c r="J40" s="14">
        <v>0</v>
      </c>
      <c r="K40" s="92">
        <f t="shared" si="0"/>
        <v>318966.05</v>
      </c>
    </row>
    <row r="41" spans="1:11" ht="21" customHeight="1" x14ac:dyDescent="0.25">
      <c r="A41" s="91" t="s">
        <v>167</v>
      </c>
      <c r="B41" s="105" t="s">
        <v>119</v>
      </c>
      <c r="C41" s="12" t="s">
        <v>118</v>
      </c>
      <c r="D41" s="106" t="s">
        <v>119</v>
      </c>
      <c r="E41" s="106" t="s">
        <v>119</v>
      </c>
      <c r="F41" s="14">
        <v>2000000</v>
      </c>
      <c r="G41" s="106" t="s">
        <v>119</v>
      </c>
      <c r="H41" s="106" t="s">
        <v>119</v>
      </c>
      <c r="I41" s="106" t="s">
        <v>119</v>
      </c>
      <c r="J41" s="14">
        <v>0</v>
      </c>
      <c r="K41" s="92">
        <f t="shared" si="0"/>
        <v>2000000</v>
      </c>
    </row>
    <row r="42" spans="1:11" ht="21" customHeight="1" x14ac:dyDescent="0.25">
      <c r="A42" s="91" t="s">
        <v>168</v>
      </c>
      <c r="B42" s="105" t="s">
        <v>119</v>
      </c>
      <c r="C42" s="12" t="s">
        <v>118</v>
      </c>
      <c r="D42" s="106" t="s">
        <v>119</v>
      </c>
      <c r="E42" s="106" t="s">
        <v>119</v>
      </c>
      <c r="F42" s="14">
        <v>1670660.32</v>
      </c>
      <c r="G42" s="106" t="s">
        <v>119</v>
      </c>
      <c r="H42" s="106" t="s">
        <v>119</v>
      </c>
      <c r="I42" s="106" t="s">
        <v>119</v>
      </c>
      <c r="J42" s="14">
        <v>0</v>
      </c>
      <c r="K42" s="92">
        <f t="shared" si="0"/>
        <v>1670660.32</v>
      </c>
    </row>
    <row r="43" spans="1:11" ht="21" customHeight="1" x14ac:dyDescent="0.25">
      <c r="A43" s="91" t="s">
        <v>169</v>
      </c>
      <c r="B43" s="105" t="s">
        <v>119</v>
      </c>
      <c r="C43" s="12" t="s">
        <v>118</v>
      </c>
      <c r="D43" s="106" t="s">
        <v>119</v>
      </c>
      <c r="E43" s="106" t="s">
        <v>119</v>
      </c>
      <c r="F43" s="14">
        <v>232567.03</v>
      </c>
      <c r="G43" s="106" t="s">
        <v>119</v>
      </c>
      <c r="H43" s="106" t="s">
        <v>119</v>
      </c>
      <c r="I43" s="106" t="s">
        <v>119</v>
      </c>
      <c r="J43" s="14">
        <v>0</v>
      </c>
      <c r="K43" s="92">
        <f t="shared" si="0"/>
        <v>232567.03</v>
      </c>
    </row>
    <row r="44" spans="1:11" ht="21" customHeight="1" x14ac:dyDescent="0.25">
      <c r="A44" s="91" t="s">
        <v>170</v>
      </c>
      <c r="B44" s="105" t="s">
        <v>119</v>
      </c>
      <c r="C44" s="12" t="s">
        <v>118</v>
      </c>
      <c r="D44" s="106" t="s">
        <v>119</v>
      </c>
      <c r="E44" s="106" t="s">
        <v>119</v>
      </c>
      <c r="F44" s="14">
        <v>1693759.46</v>
      </c>
      <c r="G44" s="106" t="s">
        <v>119</v>
      </c>
      <c r="H44" s="106" t="s">
        <v>119</v>
      </c>
      <c r="I44" s="106" t="s">
        <v>119</v>
      </c>
      <c r="J44" s="14">
        <v>0</v>
      </c>
      <c r="K44" s="92">
        <f t="shared" si="0"/>
        <v>1693759.46</v>
      </c>
    </row>
    <row r="45" spans="1:11" ht="21" customHeight="1" x14ac:dyDescent="0.25">
      <c r="A45" s="91" t="s">
        <v>171</v>
      </c>
      <c r="B45" s="105" t="s">
        <v>119</v>
      </c>
      <c r="C45" s="12" t="s">
        <v>118</v>
      </c>
      <c r="D45" s="106" t="s">
        <v>119</v>
      </c>
      <c r="E45" s="106" t="s">
        <v>119</v>
      </c>
      <c r="F45" s="14">
        <v>527006.97</v>
      </c>
      <c r="G45" s="106" t="s">
        <v>119</v>
      </c>
      <c r="H45" s="106" t="s">
        <v>119</v>
      </c>
      <c r="I45" s="106" t="s">
        <v>119</v>
      </c>
      <c r="J45" s="14">
        <v>0</v>
      </c>
      <c r="K45" s="92">
        <f t="shared" si="0"/>
        <v>527006.97</v>
      </c>
    </row>
    <row r="46" spans="1:11" ht="21" customHeight="1" x14ac:dyDescent="0.25">
      <c r="A46" s="91" t="s">
        <v>172</v>
      </c>
      <c r="B46" s="105" t="s">
        <v>119</v>
      </c>
      <c r="C46" s="12" t="s">
        <v>118</v>
      </c>
      <c r="D46" s="106" t="s">
        <v>119</v>
      </c>
      <c r="E46" s="106" t="s">
        <v>119</v>
      </c>
      <c r="F46" s="14">
        <v>2000000</v>
      </c>
      <c r="G46" s="106" t="s">
        <v>119</v>
      </c>
      <c r="H46" s="106" t="s">
        <v>119</v>
      </c>
      <c r="I46" s="106" t="s">
        <v>119</v>
      </c>
      <c r="J46" s="14">
        <v>0</v>
      </c>
      <c r="K46" s="92">
        <f t="shared" si="0"/>
        <v>2000000</v>
      </c>
    </row>
    <row r="47" spans="1:11" ht="21" customHeight="1" x14ac:dyDescent="0.25">
      <c r="A47" s="91" t="s">
        <v>173</v>
      </c>
      <c r="B47" s="105" t="s">
        <v>119</v>
      </c>
      <c r="C47" s="12" t="s">
        <v>118</v>
      </c>
      <c r="D47" s="106" t="s">
        <v>119</v>
      </c>
      <c r="E47" s="106" t="s">
        <v>119</v>
      </c>
      <c r="F47" s="14">
        <v>1998458.51</v>
      </c>
      <c r="G47" s="106" t="s">
        <v>119</v>
      </c>
      <c r="H47" s="106" t="s">
        <v>119</v>
      </c>
      <c r="I47" s="106" t="s">
        <v>119</v>
      </c>
      <c r="J47" s="14">
        <v>0</v>
      </c>
      <c r="K47" s="92">
        <f t="shared" si="0"/>
        <v>1998458.51</v>
      </c>
    </row>
    <row r="48" spans="1:11" ht="21" customHeight="1" x14ac:dyDescent="0.25">
      <c r="A48" s="91" t="s">
        <v>174</v>
      </c>
      <c r="B48" s="105" t="s">
        <v>119</v>
      </c>
      <c r="C48" s="12" t="s">
        <v>118</v>
      </c>
      <c r="D48" s="106" t="s">
        <v>119</v>
      </c>
      <c r="E48" s="106" t="s">
        <v>119</v>
      </c>
      <c r="F48" s="14">
        <v>1345980.89</v>
      </c>
      <c r="G48" s="106" t="s">
        <v>119</v>
      </c>
      <c r="H48" s="106" t="s">
        <v>119</v>
      </c>
      <c r="I48" s="106" t="s">
        <v>119</v>
      </c>
      <c r="J48" s="14">
        <v>0</v>
      </c>
      <c r="K48" s="92">
        <f t="shared" si="0"/>
        <v>1345980.89</v>
      </c>
    </row>
    <row r="49" spans="1:11" ht="21" customHeight="1" x14ac:dyDescent="0.25">
      <c r="A49" s="91" t="s">
        <v>175</v>
      </c>
      <c r="B49" s="105" t="s">
        <v>119</v>
      </c>
      <c r="C49" s="12" t="s">
        <v>118</v>
      </c>
      <c r="D49" s="106" t="s">
        <v>119</v>
      </c>
      <c r="E49" s="106" t="s">
        <v>119</v>
      </c>
      <c r="F49" s="14">
        <v>1700000.07</v>
      </c>
      <c r="G49" s="106" t="s">
        <v>119</v>
      </c>
      <c r="H49" s="106" t="s">
        <v>119</v>
      </c>
      <c r="I49" s="106" t="s">
        <v>119</v>
      </c>
      <c r="J49" s="14">
        <v>0</v>
      </c>
      <c r="K49" s="92">
        <f t="shared" si="0"/>
        <v>1700000.07</v>
      </c>
    </row>
    <row r="50" spans="1:11" ht="21" customHeight="1" x14ac:dyDescent="0.25">
      <c r="A50" s="91" t="s">
        <v>176</v>
      </c>
      <c r="B50" s="105" t="s">
        <v>119</v>
      </c>
      <c r="C50" s="12" t="s">
        <v>118</v>
      </c>
      <c r="D50" s="106" t="s">
        <v>119</v>
      </c>
      <c r="E50" s="106" t="s">
        <v>119</v>
      </c>
      <c r="F50" s="14">
        <v>1809113.58</v>
      </c>
      <c r="G50" s="106" t="s">
        <v>119</v>
      </c>
      <c r="H50" s="106" t="s">
        <v>119</v>
      </c>
      <c r="I50" s="106" t="s">
        <v>119</v>
      </c>
      <c r="J50" s="14">
        <v>0</v>
      </c>
      <c r="K50" s="92">
        <f t="shared" si="0"/>
        <v>1809113.58</v>
      </c>
    </row>
    <row r="51" spans="1:11" ht="21" customHeight="1" x14ac:dyDescent="0.25">
      <c r="A51" s="91" t="s">
        <v>177</v>
      </c>
      <c r="B51" s="105" t="s">
        <v>119</v>
      </c>
      <c r="C51" s="12" t="s">
        <v>118</v>
      </c>
      <c r="D51" s="106" t="s">
        <v>119</v>
      </c>
      <c r="E51" s="106" t="s">
        <v>119</v>
      </c>
      <c r="F51" s="14">
        <v>1998140.38</v>
      </c>
      <c r="G51" s="106" t="s">
        <v>119</v>
      </c>
      <c r="H51" s="106" t="s">
        <v>119</v>
      </c>
      <c r="I51" s="106" t="s">
        <v>119</v>
      </c>
      <c r="J51" s="14">
        <v>0</v>
      </c>
      <c r="K51" s="92">
        <f t="shared" si="0"/>
        <v>1998140.38</v>
      </c>
    </row>
    <row r="52" spans="1:11" ht="21" customHeight="1" x14ac:dyDescent="0.25">
      <c r="A52" s="91" t="s">
        <v>178</v>
      </c>
      <c r="B52" s="105" t="s">
        <v>119</v>
      </c>
      <c r="C52" s="12" t="s">
        <v>118</v>
      </c>
      <c r="D52" s="106" t="s">
        <v>119</v>
      </c>
      <c r="E52" s="106" t="s">
        <v>119</v>
      </c>
      <c r="F52" s="14">
        <v>1526234.03</v>
      </c>
      <c r="G52" s="106" t="s">
        <v>119</v>
      </c>
      <c r="H52" s="106" t="s">
        <v>119</v>
      </c>
      <c r="I52" s="106" t="s">
        <v>119</v>
      </c>
      <c r="J52" s="14">
        <v>0</v>
      </c>
      <c r="K52" s="92">
        <f t="shared" si="0"/>
        <v>1526234.03</v>
      </c>
    </row>
    <row r="53" spans="1:11" ht="21" customHeight="1" x14ac:dyDescent="0.25">
      <c r="A53" s="91" t="s">
        <v>179</v>
      </c>
      <c r="B53" s="105" t="s">
        <v>119</v>
      </c>
      <c r="C53" s="12" t="s">
        <v>118</v>
      </c>
      <c r="D53" s="106" t="s">
        <v>119</v>
      </c>
      <c r="E53" s="106" t="s">
        <v>119</v>
      </c>
      <c r="F53" s="14">
        <v>300000</v>
      </c>
      <c r="G53" s="106" t="s">
        <v>119</v>
      </c>
      <c r="H53" s="106" t="s">
        <v>119</v>
      </c>
      <c r="I53" s="106" t="s">
        <v>119</v>
      </c>
      <c r="J53" s="14">
        <v>0</v>
      </c>
      <c r="K53" s="92">
        <f t="shared" si="0"/>
        <v>300000</v>
      </c>
    </row>
    <row r="54" spans="1:11" ht="21" customHeight="1" x14ac:dyDescent="0.25">
      <c r="A54" s="91" t="s">
        <v>180</v>
      </c>
      <c r="B54" s="13" t="s">
        <v>181</v>
      </c>
      <c r="C54" s="12" t="s">
        <v>182</v>
      </c>
      <c r="D54" s="106">
        <v>44652</v>
      </c>
      <c r="E54" s="13" t="s">
        <v>119</v>
      </c>
      <c r="F54" s="14">
        <v>432672.53</v>
      </c>
      <c r="G54" s="14">
        <v>277312.84000000003</v>
      </c>
      <c r="H54" s="106" t="s">
        <v>119</v>
      </c>
      <c r="I54" s="106" t="s">
        <v>119</v>
      </c>
      <c r="J54" s="14">
        <f>F54-G54</f>
        <v>155359.69</v>
      </c>
      <c r="K54" s="107" t="s">
        <v>119</v>
      </c>
    </row>
    <row r="55" spans="1:11" ht="21" customHeight="1" x14ac:dyDescent="0.25">
      <c r="A55" s="91" t="s">
        <v>183</v>
      </c>
      <c r="B55" s="13" t="s">
        <v>184</v>
      </c>
      <c r="C55" s="12" t="s">
        <v>127</v>
      </c>
      <c r="D55" s="106">
        <v>42524</v>
      </c>
      <c r="E55" s="106">
        <v>44601</v>
      </c>
      <c r="F55" s="108" t="s">
        <v>119</v>
      </c>
      <c r="G55" s="14">
        <v>3683606.22</v>
      </c>
      <c r="H55" s="106" t="s">
        <v>119</v>
      </c>
      <c r="I55" s="14">
        <v>3626193.86</v>
      </c>
      <c r="J55" s="14">
        <f>G55-I55</f>
        <v>57412.360000000335</v>
      </c>
      <c r="K55" s="107" t="s">
        <v>119</v>
      </c>
    </row>
    <row r="56" spans="1:11" ht="21" customHeight="1" x14ac:dyDescent="0.25">
      <c r="A56" s="91" t="s">
        <v>185</v>
      </c>
      <c r="B56" s="13" t="s">
        <v>186</v>
      </c>
      <c r="C56" s="12" t="s">
        <v>127</v>
      </c>
      <c r="D56" s="106">
        <v>43859</v>
      </c>
      <c r="E56" s="106">
        <v>44685</v>
      </c>
      <c r="F56" s="108" t="s">
        <v>119</v>
      </c>
      <c r="G56" s="14">
        <v>846196.29</v>
      </c>
      <c r="H56" s="106" t="s">
        <v>119</v>
      </c>
      <c r="I56" s="14">
        <v>598361.72</v>
      </c>
      <c r="J56" s="14">
        <f>G56-I56</f>
        <v>247834.57000000007</v>
      </c>
      <c r="K56" s="107" t="s">
        <v>119</v>
      </c>
    </row>
    <row r="57" spans="1:11" ht="21" customHeight="1" x14ac:dyDescent="0.25">
      <c r="A57" s="91" t="s">
        <v>187</v>
      </c>
      <c r="B57" s="13" t="s">
        <v>188</v>
      </c>
      <c r="C57" s="12" t="s">
        <v>127</v>
      </c>
      <c r="D57" s="106">
        <v>42415</v>
      </c>
      <c r="E57" s="106">
        <v>44854</v>
      </c>
      <c r="F57" s="108" t="s">
        <v>119</v>
      </c>
      <c r="G57" s="14">
        <v>784175.55</v>
      </c>
      <c r="H57" s="106" t="s">
        <v>119</v>
      </c>
      <c r="I57" s="14">
        <v>714010.6</v>
      </c>
      <c r="J57" s="14">
        <f>G57-I57</f>
        <v>70164.95000000007</v>
      </c>
      <c r="K57" s="107" t="s">
        <v>119</v>
      </c>
    </row>
    <row r="58" spans="1:11" x14ac:dyDescent="0.25">
      <c r="A58" s="153" t="s">
        <v>189</v>
      </c>
      <c r="B58" s="154"/>
      <c r="C58" s="154"/>
      <c r="D58" s="154"/>
      <c r="E58" s="154"/>
      <c r="F58" s="154"/>
      <c r="G58" s="154"/>
      <c r="H58" s="154"/>
      <c r="I58" s="154"/>
      <c r="J58" s="83">
        <f>SUM(J16:J57)</f>
        <v>530771.57000000053</v>
      </c>
      <c r="K58" s="96">
        <f>SUM(K16:K57)</f>
        <v>26117029.489999998</v>
      </c>
    </row>
    <row r="59" spans="1:11" x14ac:dyDescent="0.25">
      <c r="A59" s="155"/>
      <c r="B59" s="156"/>
      <c r="C59" s="156"/>
      <c r="D59" s="156"/>
      <c r="E59" s="156"/>
      <c r="F59" s="156"/>
      <c r="G59" s="156"/>
      <c r="H59" s="156"/>
      <c r="I59" s="156"/>
      <c r="J59" s="157">
        <f>J58-K58</f>
        <v>-25586257.919999998</v>
      </c>
      <c r="K59" s="158"/>
    </row>
  </sheetData>
  <mergeCells count="24">
    <mergeCell ref="F9:G9"/>
    <mergeCell ref="A1:K1"/>
    <mergeCell ref="A2:K2"/>
    <mergeCell ref="A3:K3"/>
    <mergeCell ref="B6:E6"/>
    <mergeCell ref="F6:G6"/>
    <mergeCell ref="A5:K5"/>
    <mergeCell ref="H6:J6"/>
    <mergeCell ref="A58:I59"/>
    <mergeCell ref="J59:K59"/>
    <mergeCell ref="F10:G10"/>
    <mergeCell ref="F7:G7"/>
    <mergeCell ref="F8:G8"/>
    <mergeCell ref="H7:J7"/>
    <mergeCell ref="H8:J8"/>
    <mergeCell ref="H9:J9"/>
    <mergeCell ref="H10:J10"/>
    <mergeCell ref="H11:J11"/>
    <mergeCell ref="B11:E11"/>
    <mergeCell ref="F11:G11"/>
    <mergeCell ref="B7:E7"/>
    <mergeCell ref="B8:E8"/>
    <mergeCell ref="B9:E9"/>
    <mergeCell ref="B10:E10"/>
  </mergeCells>
  <pageMargins left="0.62992125984251968" right="0.39370078740157483" top="0.70866141732283472" bottom="0.19685039370078741" header="0.47244094488188981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13519b-3cb6-4eb7-b374-2759e8f8a1ef">
      <Terms xmlns="http://schemas.microsoft.com/office/infopath/2007/PartnerControls"/>
    </lcf76f155ced4ddcb4097134ff3c332f>
    <_Flow_SignoffStatus xmlns="9813519b-3cb6-4eb7-b374-2759e8f8a1ef" xsi:nil="true"/>
    <TaxCatchAll xmlns="78cec8e6-2dd2-454d-b20c-951d9c5764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28CC9628AE7E4D9780EBCDDA4CCE5D" ma:contentTypeVersion="19" ma:contentTypeDescription="Crie um novo documento." ma:contentTypeScope="" ma:versionID="d78f8f630d0ad2066a9975c6becc3906">
  <xsd:schema xmlns:xsd="http://www.w3.org/2001/XMLSchema" xmlns:xs="http://www.w3.org/2001/XMLSchema" xmlns:p="http://schemas.microsoft.com/office/2006/metadata/properties" xmlns:ns2="9813519b-3cb6-4eb7-b374-2759e8f8a1ef" xmlns:ns3="78cec8e6-2dd2-454d-b20c-951d9c576460" targetNamespace="http://schemas.microsoft.com/office/2006/metadata/properties" ma:root="true" ma:fieldsID="caee4f5d0db204afcf04448791345d74" ns2:_="" ns3:_="">
    <xsd:import namespace="9813519b-3cb6-4eb7-b374-2759e8f8a1ef"/>
    <xsd:import namespace="78cec8e6-2dd2-454d-b20c-951d9c5764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3519b-3cb6-4eb7-b374-2759e8f8a1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fa0f57-cac1-42a5-9a3a-de542e2b22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ec8e6-2dd2-454d-b20c-951d9c57646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cd48e4-e3fb-4b0e-9fcc-3067b4f8d6bd}" ma:internalName="TaxCatchAll" ma:showField="CatchAllData" ma:web="78cec8e6-2dd2-454d-b20c-951d9c5764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80F4EF-38DF-4F5F-9070-2517D2FFA6D0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8cec8e6-2dd2-454d-b20c-951d9c576460"/>
    <ds:schemaRef ds:uri="http://schemas.microsoft.com/office/infopath/2007/PartnerControls"/>
    <ds:schemaRef ds:uri="http://purl.org/dc/terms/"/>
    <ds:schemaRef ds:uri="9813519b-3cb6-4eb7-b374-2759e8f8a1e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AEAE9FE-0777-4535-84D4-8C4842DFA1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2E9455-8E5A-4B63-8D9D-C9B83690C6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Plano de Aplicação</vt:lpstr>
      <vt:lpstr>Plano de Custeio </vt:lpstr>
      <vt:lpstr>Memória de cálculo Invest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Miramar de Souza Almeida</dc:creator>
  <cp:keywords/>
  <dc:description/>
  <cp:lastModifiedBy>Douglas Brunelli</cp:lastModifiedBy>
  <cp:revision/>
  <dcterms:created xsi:type="dcterms:W3CDTF">2015-08-25T14:37:43Z</dcterms:created>
  <dcterms:modified xsi:type="dcterms:W3CDTF">2023-04-03T16:48:27Z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0x010100B528CC9628AE7E4D9780EBCDDA4CCE5D</vt:lpwstr>
  </property>
  <property fmtid="{D5CDD505-2E9C-101B-9397-08002B2CF9AE}" pid="3" name="MediaServiceImageTags">
    <vt:lpwstr/>
  </property>
</Properties>
</file>