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uglas.brunelli\Desktop\"/>
    </mc:Choice>
  </mc:AlternateContent>
  <xr:revisionPtr revIDLastSave="0" documentId="8_{89798541-F1F9-4DFB-B46A-01296E4D185D}" xr6:coauthVersionLast="47" xr6:coauthVersionMax="47" xr10:uidLastSave="{00000000-0000-0000-0000-000000000000}"/>
  <bookViews>
    <workbookView xWindow="-120" yWindow="-120" windowWidth="29040" windowHeight="15840" tabRatio="630" xr2:uid="{00000000-000D-0000-FFFF-FFFF00000000}"/>
  </bookViews>
  <sheets>
    <sheet name="Plano de Aplicação" sheetId="8" r:id="rId1"/>
    <sheet name="Plano de Custeio " sheetId="10" r:id="rId2"/>
    <sheet name="Memória de cálculo Invest " sheetId="9" r:id="rId3"/>
  </sheets>
  <definedNames>
    <definedName name="_xlnm._FilterDatabase" localSheetId="2" hidden="1">'Memória de cálculo Invest '!$A$15:$K$101</definedName>
    <definedName name="_xlnm.Print_Area" localSheetId="1">'Plano de Custeio '!$A$1:$C$51</definedName>
    <definedName name="_xlnm.Print_Titles" localSheetId="2">'Memória de cálculo Invest 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8" l="1"/>
  <c r="B45" i="8"/>
  <c r="B35" i="8"/>
  <c r="B23" i="8"/>
  <c r="B22" i="8"/>
  <c r="B21" i="8"/>
  <c r="B20" i="8"/>
  <c r="B19" i="8"/>
  <c r="B14" i="8"/>
  <c r="B39" i="10"/>
  <c r="B34" i="10" s="1"/>
  <c r="B24" i="10"/>
  <c r="B29" i="10"/>
  <c r="B22" i="10"/>
  <c r="B19" i="10"/>
  <c r="B50" i="10"/>
  <c r="B33" i="10" s="1"/>
  <c r="B32" i="10"/>
  <c r="B28" i="10" s="1"/>
  <c r="B27" i="10"/>
  <c r="B20" i="10"/>
  <c r="B11" i="10"/>
  <c r="B7" i="10" s="1"/>
  <c r="J20" i="9"/>
  <c r="K100" i="9"/>
  <c r="J100" i="9"/>
  <c r="J101" i="9" s="1"/>
  <c r="K97" i="9"/>
  <c r="K98" i="9"/>
  <c r="K99" i="9"/>
  <c r="K96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62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28" i="9"/>
  <c r="J21" i="9"/>
  <c r="J27" i="9"/>
  <c r="J26" i="9"/>
  <c r="J25" i="9"/>
  <c r="J24" i="9"/>
  <c r="J23" i="9"/>
  <c r="J22" i="9"/>
  <c r="C64" i="8"/>
  <c r="C68" i="8"/>
  <c r="C13" i="8"/>
  <c r="C9" i="8"/>
  <c r="C8" i="8" s="1"/>
  <c r="B53" i="8" s="1"/>
  <c r="C62" i="8"/>
  <c r="B29" i="8"/>
  <c r="C26" i="8"/>
  <c r="B34" i="8"/>
  <c r="C31" i="8"/>
  <c r="B49" i="8"/>
  <c r="C46" i="8"/>
  <c r="B44" i="8"/>
  <c r="C41" i="8"/>
  <c r="B39" i="8"/>
  <c r="C36" i="8"/>
  <c r="C25" i="8" s="1"/>
  <c r="B54" i="8" s="1"/>
  <c r="C52" i="8" s="1"/>
  <c r="C72" i="8" s="1"/>
  <c r="C18" i="8"/>
  <c r="C58" i="8"/>
  <c r="D58" i="8"/>
  <c r="C73" i="8"/>
  <c r="B12" i="10" l="1"/>
  <c r="B51" i="10" l="1"/>
  <c r="C33" i="10" l="1"/>
  <c r="C28" i="10"/>
  <c r="C7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2" i="10"/>
  <c r="C31" i="10"/>
  <c r="C30" i="10"/>
  <c r="C29" i="10"/>
  <c r="C27" i="10"/>
  <c r="C26" i="10"/>
  <c r="C25" i="10"/>
  <c r="C24" i="10"/>
  <c r="C23" i="10"/>
  <c r="C22" i="10"/>
  <c r="C19" i="10"/>
  <c r="C18" i="10"/>
  <c r="C17" i="10"/>
  <c r="C16" i="10"/>
  <c r="C15" i="10"/>
  <c r="C14" i="10"/>
  <c r="C11" i="10"/>
  <c r="C10" i="10"/>
  <c r="C9" i="10"/>
  <c r="C8" i="10"/>
  <c r="C20" i="10"/>
  <c r="C12" i="10"/>
</calcChain>
</file>

<file path=xl/sharedStrings.xml><?xml version="1.0" encoding="utf-8"?>
<sst xmlns="http://schemas.openxmlformats.org/spreadsheetml/2006/main" count="421" uniqueCount="309">
  <si>
    <t xml:space="preserve">DELIBERAÇÃO CBH Nº      , DE            </t>
  </si>
  <si>
    <t>ANEXO I - PLANO DE APLICAÇÃO DE RECURSOS DA COBRANÇA PARA (ANO)</t>
  </si>
  <si>
    <t>Decreto estadual nº 50.667, de 30 de março de 2006</t>
  </si>
  <si>
    <t>1 RECEITA</t>
  </si>
  <si>
    <t>SUB-TOTAL</t>
  </si>
  <si>
    <t>TOTAL</t>
  </si>
  <si>
    <t>%</t>
  </si>
  <si>
    <t>1.1 Previsão de Arrecadação no Exercício (2024) - Programa 2625 - 18.544.2625.2469 - LOA / Ação 2469 (Financiamento de Ações na UGHRI Piracicaba, Capivari e Jundiaí - Rec. Cob. Uso Água)</t>
  </si>
  <si>
    <t>2 AJUSTE DA RECEITA (ANO ANTERIOR)</t>
  </si>
  <si>
    <t>2.1 Ajuste da Arrecadação</t>
  </si>
  <si>
    <t>2.1.1 Previsão de arrecadação (2023)</t>
  </si>
  <si>
    <t>2.1.2 Arrecadação (2023)</t>
  </si>
  <si>
    <t>2.1.3 Restituição de valores cobrados pelo uso da água ao usuário</t>
  </si>
  <si>
    <t xml:space="preserve">2.2 Ajuste do Custeio </t>
  </si>
  <si>
    <t>2.2.1 Previsão de alocação para Custeio (2023)</t>
  </si>
  <si>
    <t>2.2.2 Repasse efetivo para Custeio (2023) (Somatória de "Resgate para transferência ao DAEE" + "Repasse sobre valores arrecadados")</t>
  </si>
  <si>
    <t>3 DESPESAS DE CUSTEIO (conforme Anexo II)</t>
  </si>
  <si>
    <t>3.1 Alocação da previsão de arrecadação (máximo de 10%)</t>
  </si>
  <si>
    <t xml:space="preserve">3.1.1 Custos Operacionais da Cobrança (Alinea "a", Inciso VI, Artigo 22) </t>
  </si>
  <si>
    <t>3.1.2 Atividades de Secretaria Executiva (Alinea "b", Inciso VI, Artigo 22)</t>
  </si>
  <si>
    <t>3.1.3 Outras Despesas de Custeio (Alinea "c", Inciso VI, Artigo 22)</t>
  </si>
  <si>
    <t xml:space="preserve">3.1.4 Pessoal </t>
  </si>
  <si>
    <t>3.1.5 Transferência para DAEE - ressarcimento de tarifas de cobrança</t>
  </si>
  <si>
    <t>4 AJUSTES DO EXERCÍCIO ANTERIOR E PREVISÕES PARA O EXERCÍCIO ATUAL</t>
  </si>
  <si>
    <t>4.1 Rendimentos</t>
  </si>
  <si>
    <t>4.1.1 Previsão de rendimentos (2023)</t>
  </si>
  <si>
    <t>4.1.2 Rendimentos (2023)</t>
  </si>
  <si>
    <t>4.1.3 Ajuste do exercício (2023) (previsto x rendimentos)</t>
  </si>
  <si>
    <t>4.1.4 Previsão para o exercício de (2024)</t>
  </si>
  <si>
    <t>4.2 Taxa de Administração do Agente Financeiro (Inc. V, Artigo 22)</t>
  </si>
  <si>
    <t>4.2.1 Previsão da Taxa de Administração (2023)</t>
  </si>
  <si>
    <t>4.2.2 Desembolso efetuado (2023)</t>
  </si>
  <si>
    <t>4.2.3 Ajuste da Taxa de Administração do Agente Financeiro (2023)</t>
  </si>
  <si>
    <t>4.2.4 Provisão para taxa de Administração do Agente Financeiro (2024)</t>
  </si>
  <si>
    <t>4.3 Taxa de Liberação do Agente Financeiro (Inc. V, Artigo 22)</t>
  </si>
  <si>
    <t>4.3.1 Previsão da Taxa de Liberação do Agente Financeiro (2023)</t>
  </si>
  <si>
    <t>4.3.2 Desembolso efetuado (2023)</t>
  </si>
  <si>
    <t>4.3.3 Ajuste da Taxa de Liberação do Agente Financeiro (2023)</t>
  </si>
  <si>
    <t>4.3.4 Provisão para Taxa de Liberação do Agente Financeiro (2024)</t>
  </si>
  <si>
    <t>4.4 Taxa de Liberação dos Agentes Técnicos (Inc. V, Artigo 22)</t>
  </si>
  <si>
    <t>4.4.1 Previsão da Taxa de Liberação dos Agentes Técnicos (2023)</t>
  </si>
  <si>
    <t>4.4.2 Desembolso efetuado (2023)</t>
  </si>
  <si>
    <t>4.4.3 Ajuste da Taxa de Liberação dos Agentes Técnicos (2023)</t>
  </si>
  <si>
    <t>4.4.4 Provisão para Taxa de Liberação dos Agentes Técnicos (2024)</t>
  </si>
  <si>
    <t>4.5 Taxa de Comissão de Estudos dos Agentes Técnicos (Inc. V, Artigo 22)</t>
  </si>
  <si>
    <t>4.5.1 Previsão da Taxa Comissão de Estudos dos Agentes Técnicos  (2023)</t>
  </si>
  <si>
    <t>4.5.2 Desembolso efetuado (2023)</t>
  </si>
  <si>
    <t>4.5.3 Ajuste da Taxa Comissão de Estudos dos Agentes Técnicos (2023)</t>
  </si>
  <si>
    <t>4.5.4 Provisão para Taxa Comissão de Estudos dos Agentes Técnicos (2024)</t>
  </si>
  <si>
    <t>5 APURAÇÃO PARCIAL DA DISPONIBILIDADE PARA INVESTIMENTO</t>
  </si>
  <si>
    <t>5.1 Ajuste da receita (transporte item 2)</t>
  </si>
  <si>
    <t>5.2 Total dos Ajustes e Previsões (transporte item 4)</t>
  </si>
  <si>
    <t>5.3 Recebimento da Transferência entre Bacias efetuada por outro(s) CBH(s)</t>
  </si>
  <si>
    <t>6 DESPESAS DE INVESTIMENTO</t>
  </si>
  <si>
    <t xml:space="preserve">6.1 Alocação da previsão de arrecadação para Investimento </t>
  </si>
  <si>
    <t>6.2 Empréstimos contratados (Inc. I, Artigo 22)</t>
  </si>
  <si>
    <t>6.3 Bases técnicas e instrum.da Política Est. de Rec. Hídricos (Inc. II, Artigo 22)</t>
  </si>
  <si>
    <t>6.4 Transferências entre Bacias (Inc. III, Artigo 22)</t>
  </si>
  <si>
    <t>6.5 Pagamentos (inc. IV, art. 22)</t>
  </si>
  <si>
    <t xml:space="preserve">6.5.1  Manutenção de sistemas de controle da cobrança </t>
  </si>
  <si>
    <t>6.6 Lançamentos a Crédito constantes no extrato bancário (2023)</t>
  </si>
  <si>
    <t>6.6.1 Rendimentos repassados pelo Tomador</t>
  </si>
  <si>
    <t>6.6.2 Devolução de parcelas - contratos não reembolsáveis</t>
  </si>
  <si>
    <t>6.6.3 Pagamento de parcelas - contratos com retorno</t>
  </si>
  <si>
    <t>6.7 Ajuste do exercício (2023)</t>
  </si>
  <si>
    <t>6.7.1 Valor disponibilizado no plano de aplicação da cobrança (2023) para investimento</t>
  </si>
  <si>
    <t xml:space="preserve">6.7.2 Resultado da movimentação dos empreendimentos (transporte do resultado apurado no Anexo III - Memória de cálculo  de investimento - pela diferença entre disponibilidades e valores  comprometidos) </t>
  </si>
  <si>
    <t xml:space="preserve">6.8 Transferência de Recursos de Custeio </t>
  </si>
  <si>
    <r>
      <t xml:space="preserve">6.9 Apuração parcial da disponibilidade para investimento </t>
    </r>
    <r>
      <rPr>
        <sz val="9"/>
        <rFont val="Arial"/>
        <family val="2"/>
      </rPr>
      <t>(transporte item 5)</t>
    </r>
  </si>
  <si>
    <t>APURAÇÃO FINAL DA DISPONIBILIDADE PARA INVESTIMENTO</t>
  </si>
  <si>
    <t xml:space="preserve">DELIBERAÇÃO CBH Nº      , DE     </t>
  </si>
  <si>
    <t>ANEXO II - DESPESAS DE CUSTEIO PARA (ANO)</t>
  </si>
  <si>
    <t>NATUREZA DAS DESPESAS</t>
  </si>
  <si>
    <t>VALOR (R$)</t>
  </si>
  <si>
    <t>Custos Operacionais da Cobrança</t>
  </si>
  <si>
    <t>1. Tarifas/Taxas Bancárias</t>
  </si>
  <si>
    <t>2. Transferência para DAEE - ressarcimento de tarifas de cobrança</t>
  </si>
  <si>
    <t>3. Correio</t>
  </si>
  <si>
    <t>Atividades de Secretaria Executiva</t>
  </si>
  <si>
    <t>Material de Consumo</t>
  </si>
  <si>
    <t xml:space="preserve">1. Gêneros alimentícios </t>
  </si>
  <si>
    <t xml:space="preserve">2. Combustíveis e Lubrificantes </t>
  </si>
  <si>
    <t xml:space="preserve">3. Material, peças e acessórios </t>
  </si>
  <si>
    <t>4. Material para informática</t>
  </si>
  <si>
    <t xml:space="preserve">5. Material de escritório </t>
  </si>
  <si>
    <t>6. Outros materiais de consumo</t>
  </si>
  <si>
    <t xml:space="preserve">Serviços de Terceiros </t>
  </si>
  <si>
    <t xml:space="preserve">1. Assessoria e consultoria </t>
  </si>
  <si>
    <t>2.Serviços de limpeza e vigilância (pessoa jurídica)</t>
  </si>
  <si>
    <t>3. Outros serviços de terceiros (pessoa jurídica)</t>
  </si>
  <si>
    <t>4. Outros serviços de terceiros (pessoa física)</t>
  </si>
  <si>
    <t>5. Obrigações Tributárias e Contributivas</t>
  </si>
  <si>
    <t>Outras Despesas de Custeio</t>
  </si>
  <si>
    <t>1. Serviços de Utilidade Pública</t>
  </si>
  <si>
    <t xml:space="preserve">2. Passagens e Despesas com Locomoção </t>
  </si>
  <si>
    <t>3. Alimentação e Hospedagem</t>
  </si>
  <si>
    <t xml:space="preserve"> Pessoal </t>
  </si>
  <si>
    <t>1. Sálarios Líquidos</t>
  </si>
  <si>
    <t>2. Férias + 1/3 (líquido)</t>
  </si>
  <si>
    <t>3. 13º salário (líquido)</t>
  </si>
  <si>
    <t>4. Provisão rescisão contratual</t>
  </si>
  <si>
    <t>5. Vale transporte</t>
  </si>
  <si>
    <t>6. Imposto de renda</t>
  </si>
  <si>
    <t>7. INSS</t>
  </si>
  <si>
    <t>8. PIS</t>
  </si>
  <si>
    <t>9. FGTS</t>
  </si>
  <si>
    <t>10. Assistência médica</t>
  </si>
  <si>
    <t>11. Auxílio alimentação</t>
  </si>
  <si>
    <t>12. Seguro de vida</t>
  </si>
  <si>
    <t>13.Auxílio creche</t>
  </si>
  <si>
    <t>14. Contribuição sindical</t>
  </si>
  <si>
    <t>15. Treinamento/Cursos/Congressos</t>
  </si>
  <si>
    <t>16. Saúde ocupacional (segurança e medicina do trabalho)</t>
  </si>
  <si>
    <t>TOTAL:</t>
  </si>
  <si>
    <t xml:space="preserve">DELIBERAÇÃO CBH Nº          / </t>
  </si>
  <si>
    <t>ANEXO III - MEMÓRIA DE CÁLCULO DE INVESTIMENTO</t>
  </si>
  <si>
    <t>FÓRMULAS UTILIZADAS PARA CÁLCULO DOS RESÍDUOS E COMPROMETIDOS</t>
  </si>
  <si>
    <t>SITUAÇÃO</t>
  </si>
  <si>
    <t>Para empreendimentos com código SINFEHIDRO anteriores ao do Plano de Aplicação do (ano anterior)</t>
  </si>
  <si>
    <t xml:space="preserve">Lançar valor final na coluna </t>
  </si>
  <si>
    <t>Para empreendimentos com código SINFEHIDRO
do Plano de Aplicação do (ano anterior)</t>
  </si>
  <si>
    <t>Em análise</t>
  </si>
  <si>
    <t>-</t>
  </si>
  <si>
    <t>Valor da coluna (A)</t>
  </si>
  <si>
    <t>(F)</t>
  </si>
  <si>
    <t>Não Iniciado</t>
  </si>
  <si>
    <t>Valor da coluna (A)-(B)</t>
  </si>
  <si>
    <t>(E)</t>
  </si>
  <si>
    <t>Valor da coluna (B)</t>
  </si>
  <si>
    <t>Em Execução</t>
  </si>
  <si>
    <t>Concluído</t>
  </si>
  <si>
    <t>Valor da coluna (B)+(C)-(D)</t>
  </si>
  <si>
    <t>Cancelado</t>
  </si>
  <si>
    <t>Valor da coluna (A) ou (B)</t>
  </si>
  <si>
    <t>Nº SINFEHIDRO</t>
  </si>
  <si>
    <t>Nº Contrato</t>
  </si>
  <si>
    <t>Situação</t>
  </si>
  <si>
    <t>Data de assinatura</t>
  </si>
  <si>
    <t>Data de conclusão</t>
  </si>
  <si>
    <t>Valor pleiteado
(A)</t>
  </si>
  <si>
    <t>Valor aprovado
(B)</t>
  </si>
  <si>
    <t>Valor aditado
(C)</t>
  </si>
  <si>
    <t>Valor pago
(D)</t>
  </si>
  <si>
    <t>DISPONÍVEL
P/ UTILIZAÇÃO
(E)</t>
  </si>
  <si>
    <r>
      <rPr>
        <b/>
        <sz val="8"/>
        <rFont val="Arial"/>
        <family val="2"/>
      </rPr>
      <t>COMPROMETIDO</t>
    </r>
    <r>
      <rPr>
        <b/>
        <sz val="8.5"/>
        <rFont val="Arial"/>
        <family val="2"/>
      </rPr>
      <t xml:space="preserve">
</t>
    </r>
    <r>
      <rPr>
        <b/>
        <sz val="9"/>
        <rFont val="Arial"/>
        <family val="2"/>
      </rPr>
      <t>(F)</t>
    </r>
  </si>
  <si>
    <t>2022-PCJ_COB-247</t>
  </si>
  <si>
    <t>2022-PCJ_COB-227</t>
  </si>
  <si>
    <t>2022-PCJ_COB-236</t>
  </si>
  <si>
    <t>2022-PCJ_COB-225</t>
  </si>
  <si>
    <t>2021-PCJ_COB-205</t>
  </si>
  <si>
    <t>086/2022</t>
  </si>
  <si>
    <t>2019-PCJ_COB-192</t>
  </si>
  <si>
    <t>305/2019</t>
  </si>
  <si>
    <t>2019-PCJ_COB-189</t>
  </si>
  <si>
    <t>318/2019</t>
  </si>
  <si>
    <t>2018-PCJ_COB-186</t>
  </si>
  <si>
    <t>193/2019</t>
  </si>
  <si>
    <t>2015-PCJ_COB-142</t>
  </si>
  <si>
    <t>002/2016</t>
  </si>
  <si>
    <t>2016-PCJ_COB-155</t>
  </si>
  <si>
    <t>194/2016</t>
  </si>
  <si>
    <t>2016-PCJ_COB-154</t>
  </si>
  <si>
    <t>011/2017</t>
  </si>
  <si>
    <t>2017-PCJ_COB-174</t>
  </si>
  <si>
    <t>267/2018</t>
  </si>
  <si>
    <t>2022-PCJ_COB-217</t>
  </si>
  <si>
    <t>046/2023</t>
  </si>
  <si>
    <t>Não iniciado</t>
  </si>
  <si>
    <t>2022-PCJ_COB-218</t>
  </si>
  <si>
    <t>188/2023</t>
  </si>
  <si>
    <t>2022-PCJ_COB-219</t>
  </si>
  <si>
    <t>121/2023</t>
  </si>
  <si>
    <t>2022-PCJ_COB-220</t>
  </si>
  <si>
    <t>074/2023</t>
  </si>
  <si>
    <t>2022-PCJ_COB-221</t>
  </si>
  <si>
    <t>069/2023</t>
  </si>
  <si>
    <t>2022-PCJ_COB-222</t>
  </si>
  <si>
    <t>204/2023</t>
  </si>
  <si>
    <t>2022-PCJ_COB-223</t>
  </si>
  <si>
    <t>185/2023</t>
  </si>
  <si>
    <t>2022-PCJ_COB-224</t>
  </si>
  <si>
    <t>161/2023</t>
  </si>
  <si>
    <t>2022-PCJ_COB-226</t>
  </si>
  <si>
    <t>221/2023</t>
  </si>
  <si>
    <t>2022-PCJ_COB-228</t>
  </si>
  <si>
    <t>203/2023</t>
  </si>
  <si>
    <t>2022-PCJ_COB-229</t>
  </si>
  <si>
    <t>195/2023</t>
  </si>
  <si>
    <t>2022-PCJ_COB-230</t>
  </si>
  <si>
    <t>073/2023</t>
  </si>
  <si>
    <t>2022-PCJ_COB-231</t>
  </si>
  <si>
    <t>198/2023</t>
  </si>
  <si>
    <t>2022-PCJ_COB-232</t>
  </si>
  <si>
    <t>044/2023</t>
  </si>
  <si>
    <t>2022-PCJ_COB-233</t>
  </si>
  <si>
    <t>187/2023</t>
  </si>
  <si>
    <t>2022-PCJ_COB-234</t>
  </si>
  <si>
    <t>211/2023</t>
  </si>
  <si>
    <t>2022-PCJ_COB-235</t>
  </si>
  <si>
    <t>009/2023</t>
  </si>
  <si>
    <t>2022-PCJ_COB-237</t>
  </si>
  <si>
    <t>162/2023</t>
  </si>
  <si>
    <t>2022-PCJ_COB-238</t>
  </si>
  <si>
    <t>058/2023</t>
  </si>
  <si>
    <t>2022-PCJ_COB-239</t>
  </si>
  <si>
    <t>123/2023</t>
  </si>
  <si>
    <t>2022-PCJ_COB-240</t>
  </si>
  <si>
    <t>144/2023</t>
  </si>
  <si>
    <t>2022-PCJ_COB-241</t>
  </si>
  <si>
    <t>041/2023</t>
  </si>
  <si>
    <t>2022-PCJ_COB-242</t>
  </si>
  <si>
    <t>151/2023</t>
  </si>
  <si>
    <t>2022-PCJ_COB-243</t>
  </si>
  <si>
    <t>120/2023</t>
  </si>
  <si>
    <t>2022-PCJ_COB-244</t>
  </si>
  <si>
    <t>197/2023</t>
  </si>
  <si>
    <t>2022-PCJ_COB-245</t>
  </si>
  <si>
    <t>126/2023</t>
  </si>
  <si>
    <t>2022-PCJ_COB-246</t>
  </si>
  <si>
    <t>327/2023</t>
  </si>
  <si>
    <t>2022-PCJ_COB-248</t>
  </si>
  <si>
    <t>213/2023</t>
  </si>
  <si>
    <t>2022-PCJ_COB-249</t>
  </si>
  <si>
    <t>122/2023</t>
  </si>
  <si>
    <t>2022-PCJ_COB-250</t>
  </si>
  <si>
    <t>153/2023</t>
  </si>
  <si>
    <t>2022-PCJ_COB-251</t>
  </si>
  <si>
    <t>047/2023</t>
  </si>
  <si>
    <t>2022-PCJ_COB-252</t>
  </si>
  <si>
    <t>325/2023</t>
  </si>
  <si>
    <t>2022-PCJ_COB-253</t>
  </si>
  <si>
    <t>078/2023</t>
  </si>
  <si>
    <t>2022-PCJ_COB-254</t>
  </si>
  <si>
    <t>266/2023</t>
  </si>
  <si>
    <t>2023-PCJ_COB-255</t>
  </si>
  <si>
    <t>469/2023</t>
  </si>
  <si>
    <t>2023-PCJ_COB-256</t>
  </si>
  <si>
    <t>360/2023</t>
  </si>
  <si>
    <t>2023-PCJ_COB-257</t>
  </si>
  <si>
    <t>416/2023</t>
  </si>
  <si>
    <t>2023-PCJ_COB-258</t>
  </si>
  <si>
    <t>351/2023</t>
  </si>
  <si>
    <t>2023-PCJ_COB-259</t>
  </si>
  <si>
    <t>385/2023</t>
  </si>
  <si>
    <t>2023-PCJ_COB-260</t>
  </si>
  <si>
    <t>564/2023</t>
  </si>
  <si>
    <t>2023-PCJ_COB-261</t>
  </si>
  <si>
    <t>435/2023</t>
  </si>
  <si>
    <t>2023-PCJ_COB-262</t>
  </si>
  <si>
    <t>343/2023</t>
  </si>
  <si>
    <t>2023-PCJ_COB-263</t>
  </si>
  <si>
    <t>534/2023</t>
  </si>
  <si>
    <t>2023-PCJ_COB-264</t>
  </si>
  <si>
    <t>422/2023</t>
  </si>
  <si>
    <t>2023-PCJ_COB-265</t>
  </si>
  <si>
    <t>457/2023</t>
  </si>
  <si>
    <t>2023-PCJ_COB-266</t>
  </si>
  <si>
    <t>465/2023</t>
  </si>
  <si>
    <t>2023-PCJ_COB-267</t>
  </si>
  <si>
    <t>436/2023</t>
  </si>
  <si>
    <t>2023-PCJ_COB-268</t>
  </si>
  <si>
    <t>447/2023</t>
  </si>
  <si>
    <t>2023-PCJ_COB-269</t>
  </si>
  <si>
    <t>396/2023</t>
  </si>
  <si>
    <t>2023-PCJ_COB-270</t>
  </si>
  <si>
    <t>391/2023</t>
  </si>
  <si>
    <t>2023-PCJ_COB-271</t>
  </si>
  <si>
    <t>466/2023</t>
  </si>
  <si>
    <t>2023-PCJ_COB-272</t>
  </si>
  <si>
    <t>374/2023</t>
  </si>
  <si>
    <t>2023-PCJ_COB-273</t>
  </si>
  <si>
    <t>373/2023</t>
  </si>
  <si>
    <t>2023-PCJ_COB-274</t>
  </si>
  <si>
    <t>463/2023</t>
  </si>
  <si>
    <t>2023-PCJ_COB-275</t>
  </si>
  <si>
    <t>430/2023</t>
  </si>
  <si>
    <t>2023-PCJ_COB-276</t>
  </si>
  <si>
    <t>354/2023</t>
  </si>
  <si>
    <t>2023-PCJ_COB-278</t>
  </si>
  <si>
    <t>426/2023</t>
  </si>
  <si>
    <t>2023-PCJ_COB-279</t>
  </si>
  <si>
    <t>378/2023</t>
  </si>
  <si>
    <t>2023-PCJ_COB-280</t>
  </si>
  <si>
    <t>392/2023</t>
  </si>
  <si>
    <t>2023-PCJ_COB-281</t>
  </si>
  <si>
    <t>379/2023</t>
  </si>
  <si>
    <t>2023-PCJ_COB-282</t>
  </si>
  <si>
    <t>406/2023</t>
  </si>
  <si>
    <t>2023-PCJ_COB-284</t>
  </si>
  <si>
    <t>428/2023</t>
  </si>
  <si>
    <t>2023-PCJ_COB-285</t>
  </si>
  <si>
    <t>407/2023</t>
  </si>
  <si>
    <t>2023-PCJ_COB-286</t>
  </si>
  <si>
    <t>393/2023</t>
  </si>
  <si>
    <t>2023-PCJ_COB-287</t>
  </si>
  <si>
    <t>375/2023</t>
  </si>
  <si>
    <t>2023-PCJ_COB-289</t>
  </si>
  <si>
    <t>329/2023</t>
  </si>
  <si>
    <t>2023-PCJ_COB-290</t>
  </si>
  <si>
    <t>499/2023</t>
  </si>
  <si>
    <t>2023-PCJ_COB-291</t>
  </si>
  <si>
    <t>527/2023</t>
  </si>
  <si>
    <t>2023-PCJ_COB-292</t>
  </si>
  <si>
    <t>588/2023</t>
  </si>
  <si>
    <t>2023-PCJ_COB-277</t>
  </si>
  <si>
    <t>2023-PCJ_COB-283</t>
  </si>
  <si>
    <t>587/2023</t>
  </si>
  <si>
    <t>2023-PCJ_COB-288</t>
  </si>
  <si>
    <t>Resultado a transferir para o item 6.7.2 do Anexo I (manter sinal negativo para transporte caso o resultado seja negativo)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</si>
</sst>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7">
    <xf numFmtId="0" fontId="0" fillId="0" borderId="0" xfId="0"/>
    <xf numFmtId="0" fontId="10" fillId="0" borderId="0" xfId="0" applyFont="1"/>
    <xf numFmtId="0" fontId="10" fillId="0" borderId="1" xfId="0" applyFont="1" applyBorder="1"/>
    <xf numFmtId="0" fontId="11" fillId="0" borderId="2" xfId="0" applyFont="1" applyBorder="1"/>
    <xf numFmtId="0" fontId="10" fillId="0" borderId="2" xfId="0" applyFont="1" applyBorder="1"/>
    <xf numFmtId="10" fontId="12" fillId="0" borderId="3" xfId="0" applyNumberFormat="1" applyFont="1" applyBorder="1" applyAlignment="1" applyProtection="1">
      <alignment vertical="center"/>
      <protection locked="0"/>
    </xf>
    <xf numFmtId="9" fontId="12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 applyProtection="1">
      <alignment vertical="center"/>
      <protection locked="0"/>
    </xf>
    <xf numFmtId="4" fontId="4" fillId="0" borderId="4" xfId="0" applyNumberFormat="1" applyFont="1" applyBorder="1" applyAlignment="1" applyProtection="1">
      <alignment horizontal="right" vertical="center"/>
      <protection locked="0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0" fontId="2" fillId="0" borderId="0" xfId="2" applyFont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4" fontId="7" fillId="2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0" fillId="0" borderId="0" xfId="0" applyFont="1" applyAlignment="1">
      <alignment horizontal="justify" vertical="center"/>
    </xf>
    <xf numFmtId="164" fontId="4" fillId="0" borderId="4" xfId="4" applyFont="1" applyBorder="1" applyAlignment="1" applyProtection="1">
      <alignment horizontal="justify" vertical="center"/>
      <protection locked="0"/>
    </xf>
    <xf numFmtId="0" fontId="10" fillId="0" borderId="0" xfId="0" applyFont="1" applyAlignment="1">
      <alignment vertical="center"/>
    </xf>
    <xf numFmtId="164" fontId="3" fillId="0" borderId="5" xfId="0" applyNumberFormat="1" applyFont="1" applyBorder="1" applyAlignment="1" applyProtection="1">
      <alignment vertical="center"/>
      <protection locked="0"/>
    </xf>
    <xf numFmtId="4" fontId="4" fillId="0" borderId="6" xfId="0" applyNumberFormat="1" applyFont="1" applyBorder="1" applyAlignment="1" applyProtection="1">
      <alignment vertical="center"/>
      <protection locked="0"/>
    </xf>
    <xf numFmtId="4" fontId="4" fillId="0" borderId="5" xfId="0" applyNumberFormat="1" applyFont="1" applyBorder="1" applyAlignment="1" applyProtection="1">
      <alignment vertical="center"/>
      <protection locked="0"/>
    </xf>
    <xf numFmtId="164" fontId="4" fillId="0" borderId="6" xfId="4" applyFont="1" applyFill="1" applyBorder="1" applyAlignment="1" applyProtection="1">
      <alignment horizontal="right" vertical="center"/>
      <protection locked="0"/>
    </xf>
    <xf numFmtId="4" fontId="4" fillId="0" borderId="15" xfId="0" applyNumberFormat="1" applyFont="1" applyBorder="1" applyAlignment="1" applyProtection="1">
      <alignment horizontal="right" vertical="center"/>
      <protection locked="0"/>
    </xf>
    <xf numFmtId="0" fontId="3" fillId="4" borderId="9" xfId="0" applyFont="1" applyFill="1" applyBorder="1" applyAlignment="1" applyProtection="1">
      <alignment vertical="center"/>
      <protection locked="0"/>
    </xf>
    <xf numFmtId="0" fontId="3" fillId="4" borderId="9" xfId="2" applyFont="1" applyFill="1" applyBorder="1" applyAlignment="1" applyProtection="1">
      <alignment horizontal="center" vertical="center"/>
      <protection locked="0"/>
    </xf>
    <xf numFmtId="0" fontId="3" fillId="4" borderId="3" xfId="2" applyFont="1" applyFill="1" applyBorder="1" applyAlignment="1" applyProtection="1">
      <alignment horizontal="center" vertical="center"/>
      <protection locked="0"/>
    </xf>
    <xf numFmtId="0" fontId="2" fillId="4" borderId="3" xfId="2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4" fontId="3" fillId="5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vertical="center"/>
      <protection locked="0"/>
    </xf>
    <xf numFmtId="4" fontId="4" fillId="0" borderId="16" xfId="0" applyNumberFormat="1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17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4" fontId="3" fillId="5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4" fontId="3" fillId="5" borderId="11" xfId="0" applyNumberFormat="1" applyFont="1" applyFill="1" applyBorder="1" applyAlignment="1" applyProtection="1">
      <alignment horizontal="center" vertical="center"/>
      <protection locked="0"/>
    </xf>
    <xf numFmtId="4" fontId="3" fillId="5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4" fontId="4" fillId="0" borderId="1" xfId="0" applyNumberFormat="1" applyFont="1" applyBorder="1" applyAlignment="1" applyProtection="1">
      <alignment vertical="center"/>
      <protection locked="0"/>
    </xf>
    <xf numFmtId="0" fontId="13" fillId="0" borderId="18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4" fontId="3" fillId="5" borderId="19" xfId="0" applyNumberFormat="1" applyFont="1" applyFill="1" applyBorder="1" applyAlignment="1" applyProtection="1">
      <alignment horizontal="center" vertical="center"/>
      <protection locked="0"/>
    </xf>
    <xf numFmtId="4" fontId="3" fillId="5" borderId="20" xfId="0" applyNumberFormat="1" applyFont="1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4" fontId="3" fillId="5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4" fontId="3" fillId="5" borderId="23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4" fontId="3" fillId="5" borderId="24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justify" vertical="center"/>
      <protection locked="0"/>
    </xf>
    <xf numFmtId="4" fontId="3" fillId="5" borderId="4" xfId="0" applyNumberFormat="1" applyFont="1" applyFill="1" applyBorder="1" applyAlignment="1" applyProtection="1">
      <alignment horizontal="justify" vertical="center"/>
      <protection locked="0"/>
    </xf>
    <xf numFmtId="0" fontId="3" fillId="0" borderId="4" xfId="0" applyFont="1" applyBorder="1" applyAlignment="1" applyProtection="1">
      <alignment horizontal="justify" vertical="center"/>
      <protection locked="0"/>
    </xf>
    <xf numFmtId="0" fontId="13" fillId="0" borderId="21" xfId="0" applyFont="1" applyBorder="1" applyAlignment="1" applyProtection="1">
      <alignment horizontal="justify" vertical="center"/>
      <protection locked="0"/>
    </xf>
    <xf numFmtId="0" fontId="13" fillId="0" borderId="0" xfId="0" applyFont="1" applyAlignment="1" applyProtection="1">
      <alignment horizontal="justify" vertical="center"/>
      <protection locked="0"/>
    </xf>
    <xf numFmtId="0" fontId="4" fillId="0" borderId="4" xfId="0" applyFont="1" applyBorder="1" applyAlignment="1" applyProtection="1">
      <alignment horizontal="justify" vertical="center"/>
      <protection locked="0"/>
    </xf>
    <xf numFmtId="4" fontId="3" fillId="5" borderId="12" xfId="0" applyNumberFormat="1" applyFont="1" applyFill="1" applyBorder="1" applyAlignment="1" applyProtection="1">
      <alignment horizontal="justify" vertical="center"/>
      <protection locked="0"/>
    </xf>
    <xf numFmtId="164" fontId="3" fillId="0" borderId="5" xfId="4" applyFont="1" applyBorder="1" applyAlignment="1" applyProtection="1">
      <alignment horizontal="justify" vertical="center"/>
      <protection locked="0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3" fillId="0" borderId="18" xfId="0" applyFont="1" applyBorder="1" applyAlignment="1" applyProtection="1">
      <alignment horizontal="justify" vertical="center"/>
      <protection locked="0"/>
    </xf>
    <xf numFmtId="4" fontId="3" fillId="5" borderId="5" xfId="0" applyNumberFormat="1" applyFont="1" applyFill="1" applyBorder="1" applyAlignment="1" applyProtection="1">
      <alignment horizontal="justify" vertical="center"/>
      <protection locked="0"/>
    </xf>
    <xf numFmtId="164" fontId="3" fillId="0" borderId="5" xfId="0" applyNumberFormat="1" applyFont="1" applyBorder="1" applyAlignment="1">
      <alignment vertical="center"/>
    </xf>
    <xf numFmtId="164" fontId="3" fillId="0" borderId="25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10" fontId="12" fillId="0" borderId="3" xfId="0" applyNumberFormat="1" applyFont="1" applyBorder="1" applyAlignment="1">
      <alignment vertical="center"/>
    </xf>
    <xf numFmtId="4" fontId="3" fillId="0" borderId="12" xfId="0" applyNumberFormat="1" applyFont="1" applyBorder="1" applyAlignment="1" applyProtection="1">
      <alignment horizontal="justify" vertical="center"/>
      <protection locked="0"/>
    </xf>
    <xf numFmtId="164" fontId="3" fillId="0" borderId="4" xfId="0" applyNumberFormat="1" applyFont="1" applyBorder="1" applyAlignment="1">
      <alignment vertical="center"/>
    </xf>
    <xf numFmtId="164" fontId="3" fillId="0" borderId="24" xfId="0" applyNumberFormat="1" applyFont="1" applyBorder="1" applyAlignment="1">
      <alignment vertical="center"/>
    </xf>
    <xf numFmtId="164" fontId="4" fillId="0" borderId="4" xfId="4" applyFont="1" applyFill="1" applyBorder="1" applyAlignment="1" applyProtection="1">
      <alignment horizontal="right" vertical="center"/>
      <protection locked="0"/>
    </xf>
    <xf numFmtId="164" fontId="3" fillId="5" borderId="11" xfId="4" applyFont="1" applyFill="1" applyBorder="1" applyAlignment="1" applyProtection="1">
      <alignment horizontal="justify" vertical="center"/>
      <protection locked="0"/>
    </xf>
    <xf numFmtId="164" fontId="3" fillId="5" borderId="4" xfId="4" applyFont="1" applyFill="1" applyBorder="1" applyAlignment="1" applyProtection="1">
      <alignment horizontal="justify" vertical="center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5" borderId="25" xfId="0" applyNumberFormat="1" applyFont="1" applyFill="1" applyBorder="1" applyAlignment="1" applyProtection="1">
      <alignment horizontal="center" vertical="center"/>
      <protection locked="0"/>
    </xf>
    <xf numFmtId="164" fontId="3" fillId="0" borderId="3" xfId="0" applyNumberFormat="1" applyFont="1" applyBorder="1" applyAlignment="1">
      <alignment vertical="center"/>
    </xf>
    <xf numFmtId="0" fontId="4" fillId="0" borderId="19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vertical="center"/>
      <protection locked="0"/>
    </xf>
    <xf numFmtId="4" fontId="3" fillId="5" borderId="26" xfId="0" applyNumberFormat="1" applyFont="1" applyFill="1" applyBorder="1" applyAlignment="1" applyProtection="1">
      <alignment horizontal="center" vertical="center"/>
      <protection locked="0"/>
    </xf>
    <xf numFmtId="4" fontId="3" fillId="5" borderId="6" xfId="0" applyNumberFormat="1" applyFont="1" applyFill="1" applyBorder="1" applyAlignment="1" applyProtection="1">
      <alignment horizontal="center" vertical="center"/>
      <protection locked="0"/>
    </xf>
    <xf numFmtId="4" fontId="3" fillId="5" borderId="28" xfId="0" applyNumberFormat="1" applyFont="1" applyFill="1" applyBorder="1" applyAlignment="1" applyProtection="1">
      <alignment horizontal="center" vertical="center"/>
      <protection locked="0"/>
    </xf>
    <xf numFmtId="164" fontId="4" fillId="0" borderId="11" xfId="0" applyNumberFormat="1" applyFont="1" applyBorder="1" applyAlignment="1">
      <alignment vertical="center"/>
    </xf>
    <xf numFmtId="164" fontId="3" fillId="6" borderId="7" xfId="0" applyNumberFormat="1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 applyProtection="1">
      <alignment vertical="center"/>
      <protection locked="0"/>
    </xf>
    <xf numFmtId="164" fontId="3" fillId="0" borderId="5" xfId="4" applyFont="1" applyBorder="1" applyAlignment="1" applyProtection="1">
      <alignment horizontal="justify" vertical="center"/>
    </xf>
    <xf numFmtId="14" fontId="7" fillId="0" borderId="7" xfId="0" applyNumberFormat="1" applyFont="1" applyBorder="1" applyAlignment="1">
      <alignment horizontal="center" vertical="center" wrapText="1"/>
    </xf>
    <xf numFmtId="0" fontId="7" fillId="0" borderId="7" xfId="0" quotePrefix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2" borderId="7" xfId="0" quotePrefix="1" applyFont="1" applyFill="1" applyBorder="1" applyAlignment="1">
      <alignment horizontal="center" vertical="center" wrapText="1"/>
    </xf>
    <xf numFmtId="164" fontId="7" fillId="0" borderId="7" xfId="4" applyFont="1" applyFill="1" applyBorder="1" applyAlignment="1">
      <alignment horizontal="center" vertical="center" wrapText="1"/>
    </xf>
    <xf numFmtId="164" fontId="7" fillId="2" borderId="7" xfId="4" applyFont="1" applyFill="1" applyBorder="1" applyAlignment="1">
      <alignment horizontal="right" vertical="center" wrapText="1"/>
    </xf>
    <xf numFmtId="164" fontId="7" fillId="0" borderId="22" xfId="4" applyFont="1" applyFill="1" applyBorder="1" applyAlignment="1">
      <alignment horizontal="center" vertical="center" wrapText="1"/>
    </xf>
    <xf numFmtId="164" fontId="7" fillId="2" borderId="22" xfId="4" applyFont="1" applyFill="1" applyBorder="1" applyAlignment="1">
      <alignment horizontal="right" vertical="center" wrapText="1"/>
    </xf>
    <xf numFmtId="164" fontId="7" fillId="0" borderId="22" xfId="4" applyFont="1" applyFill="1" applyBorder="1" applyAlignment="1">
      <alignment horizontal="right" vertical="center" wrapText="1"/>
    </xf>
    <xf numFmtId="14" fontId="7" fillId="0" borderId="7" xfId="0" quotePrefix="1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7" xfId="4" applyFont="1" applyFill="1" applyBorder="1" applyAlignment="1">
      <alignment horizontal="right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29" xfId="0" applyFont="1" applyBorder="1"/>
    <xf numFmtId="0" fontId="16" fillId="0" borderId="22" xfId="0" applyFont="1" applyBorder="1" applyAlignment="1">
      <alignment horizontal="center"/>
    </xf>
    <xf numFmtId="0" fontId="15" fillId="0" borderId="29" xfId="0" applyFont="1" applyBorder="1" applyAlignment="1">
      <alignment horizontal="left" vertical="center"/>
    </xf>
    <xf numFmtId="0" fontId="15" fillId="0" borderId="30" xfId="0" applyFont="1" applyBorder="1"/>
    <xf numFmtId="0" fontId="16" fillId="0" borderId="34" xfId="0" applyFont="1" applyBorder="1" applyAlignment="1">
      <alignment horizontal="center"/>
    </xf>
    <xf numFmtId="0" fontId="7" fillId="7" borderId="7" xfId="0" applyFont="1" applyFill="1" applyBorder="1" applyAlignment="1">
      <alignment horizontal="center" vertical="center" wrapText="1"/>
    </xf>
    <xf numFmtId="14" fontId="7" fillId="7" borderId="7" xfId="0" applyNumberFormat="1" applyFont="1" applyFill="1" applyBorder="1" applyAlignment="1">
      <alignment horizontal="center" vertical="center" wrapText="1"/>
    </xf>
    <xf numFmtId="164" fontId="7" fillId="7" borderId="7" xfId="4" applyFont="1" applyFill="1" applyBorder="1" applyAlignment="1">
      <alignment horizontal="right" vertical="center" wrapText="1"/>
    </xf>
    <xf numFmtId="164" fontId="7" fillId="7" borderId="7" xfId="4" applyFont="1" applyFill="1" applyBorder="1" applyAlignment="1">
      <alignment horizontal="center" vertical="center" wrapText="1"/>
    </xf>
    <xf numFmtId="164" fontId="7" fillId="7" borderId="7" xfId="0" applyNumberFormat="1" applyFont="1" applyFill="1" applyBorder="1" applyAlignment="1">
      <alignment horizontal="center" vertical="center" wrapText="1"/>
    </xf>
    <xf numFmtId="164" fontId="7" fillId="7" borderId="22" xfId="4" applyFont="1" applyFill="1" applyBorder="1" applyAlignment="1">
      <alignment horizontal="right" vertical="center" wrapText="1"/>
    </xf>
    <xf numFmtId="0" fontId="2" fillId="0" borderId="0" xfId="2" applyFont="1" applyAlignment="1">
      <alignment horizontal="center" vertical="center" wrapText="1"/>
    </xf>
    <xf numFmtId="43" fontId="11" fillId="3" borderId="3" xfId="0" applyNumberFormat="1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justify" vertical="center" wrapText="1"/>
    </xf>
    <xf numFmtId="43" fontId="10" fillId="0" borderId="4" xfId="0" applyNumberFormat="1" applyFont="1" applyBorder="1" applyAlignment="1">
      <alignment horizontal="right" vertical="center" wrapText="1"/>
    </xf>
    <xf numFmtId="0" fontId="11" fillId="0" borderId="13" xfId="0" applyFont="1" applyBorder="1" applyAlignment="1">
      <alignment horizontal="justify" vertical="center" wrapText="1"/>
    </xf>
    <xf numFmtId="43" fontId="11" fillId="0" borderId="4" xfId="0" applyNumberFormat="1" applyFont="1" applyBorder="1" applyAlignment="1">
      <alignment horizontal="right" vertical="center" wrapText="1"/>
    </xf>
    <xf numFmtId="0" fontId="11" fillId="4" borderId="13" xfId="0" applyFont="1" applyFill="1" applyBorder="1" applyAlignment="1">
      <alignment horizontal="center" vertical="center" wrapText="1"/>
    </xf>
    <xf numFmtId="43" fontId="10" fillId="0" borderId="4" xfId="0" applyNumberFormat="1" applyFont="1" applyBorder="1" applyAlignment="1">
      <alignment vertical="center" wrapText="1"/>
    </xf>
    <xf numFmtId="43" fontId="2" fillId="0" borderId="0" xfId="2" applyNumberFormat="1" applyFont="1" applyAlignment="1">
      <alignment horizontal="center" vertical="center" wrapText="1"/>
    </xf>
    <xf numFmtId="43" fontId="11" fillId="3" borderId="9" xfId="0" applyNumberFormat="1" applyFont="1" applyFill="1" applyBorder="1" applyAlignment="1">
      <alignment horizontal="center" vertical="center" wrapText="1"/>
    </xf>
    <xf numFmtId="43" fontId="11" fillId="4" borderId="10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wrapText="1"/>
    </xf>
    <xf numFmtId="9" fontId="11" fillId="4" borderId="37" xfId="0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horizontal="right" vertical="center" wrapText="1"/>
    </xf>
    <xf numFmtId="0" fontId="2" fillId="0" borderId="1" xfId="2" applyFont="1" applyBorder="1" applyAlignment="1">
      <alignment horizontal="right" vertical="center" wrapText="1"/>
    </xf>
    <xf numFmtId="9" fontId="11" fillId="3" borderId="14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 wrapText="1"/>
    </xf>
    <xf numFmtId="0" fontId="0" fillId="0" borderId="0" xfId="0" applyAlignment="1">
      <alignment horizontal="right" wrapText="1"/>
    </xf>
    <xf numFmtId="9" fontId="10" fillId="0" borderId="4" xfId="0" applyNumberFormat="1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7" fillId="0" borderId="0" xfId="0" applyFont="1"/>
    <xf numFmtId="43" fontId="11" fillId="0" borderId="4" xfId="0" applyNumberFormat="1" applyFont="1" applyBorder="1" applyAlignment="1">
      <alignment vertical="center" wrapText="1"/>
    </xf>
    <xf numFmtId="0" fontId="0" fillId="0" borderId="0" xfId="0" applyAlignment="1">
      <alignment horizontal="left" vertical="top" wrapText="1"/>
    </xf>
    <xf numFmtId="4" fontId="18" fillId="0" borderId="26" xfId="0" applyNumberFormat="1" applyFont="1" applyBorder="1" applyAlignment="1" applyProtection="1">
      <alignment horizontal="right" vertical="center"/>
      <protection locked="0"/>
    </xf>
    <xf numFmtId="164" fontId="18" fillId="0" borderId="26" xfId="4" applyFont="1" applyFill="1" applyBorder="1" applyAlignment="1" applyProtection="1">
      <alignment horizontal="right" vertical="center"/>
      <protection locked="0"/>
    </xf>
    <xf numFmtId="164" fontId="18" fillId="0" borderId="4" xfId="4" applyFont="1" applyFill="1" applyBorder="1" applyAlignment="1" applyProtection="1">
      <alignment horizontal="right" vertical="center"/>
      <protection locked="0"/>
    </xf>
    <xf numFmtId="4" fontId="3" fillId="0" borderId="11" xfId="0" applyNumberFormat="1" applyFont="1" applyBorder="1" applyAlignment="1" applyProtection="1">
      <alignment horizontal="justify" vertical="center"/>
      <protection locked="0"/>
    </xf>
    <xf numFmtId="4" fontId="3" fillId="0" borderId="4" xfId="0" applyNumberFormat="1" applyFont="1" applyBorder="1" applyAlignment="1" applyProtection="1">
      <alignment horizontal="justify" vertical="center"/>
      <protection locked="0"/>
    </xf>
    <xf numFmtId="4" fontId="3" fillId="0" borderId="24" xfId="0" applyNumberFormat="1" applyFont="1" applyBorder="1" applyAlignment="1" applyProtection="1">
      <alignment horizontal="justify" vertical="center"/>
      <protection locked="0"/>
    </xf>
    <xf numFmtId="164" fontId="4" fillId="0" borderId="12" xfId="4" applyFont="1" applyFill="1" applyBorder="1" applyAlignment="1" applyProtection="1">
      <alignment horizontal="justify" vertical="center"/>
      <protection locked="0"/>
    </xf>
    <xf numFmtId="14" fontId="7" fillId="8" borderId="7" xfId="0" applyNumberFormat="1" applyFont="1" applyFill="1" applyBorder="1" applyAlignment="1">
      <alignment horizontal="center" vertical="center" wrapText="1"/>
    </xf>
    <xf numFmtId="164" fontId="4" fillId="0" borderId="5" xfId="4" applyFont="1" applyFill="1" applyBorder="1" applyAlignment="1" applyProtection="1">
      <alignment horizontal="right" vertical="center"/>
      <protection locked="0"/>
    </xf>
    <xf numFmtId="164" fontId="13" fillId="0" borderId="6" xfId="4" applyFont="1" applyFill="1" applyBorder="1" applyAlignment="1" applyProtection="1">
      <alignment horizontal="right" vertical="center"/>
      <protection locked="0"/>
    </xf>
    <xf numFmtId="0" fontId="3" fillId="4" borderId="8" xfId="0" applyFont="1" applyFill="1" applyBorder="1" applyAlignment="1" applyProtection="1">
      <alignment horizontal="left" vertical="center"/>
      <protection locked="0"/>
    </xf>
    <xf numFmtId="0" fontId="3" fillId="4" borderId="14" xfId="0" applyFont="1" applyFill="1" applyBorder="1" applyAlignment="1" applyProtection="1">
      <alignment horizontal="left" vertical="center"/>
      <protection locked="0"/>
    </xf>
    <xf numFmtId="0" fontId="3" fillId="4" borderId="16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3" borderId="14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2" fillId="0" borderId="0" xfId="2" applyFont="1" applyAlignment="1">
      <alignment horizontal="center" vertical="center" wrapText="1"/>
    </xf>
    <xf numFmtId="164" fontId="3" fillId="6" borderId="36" xfId="0" applyNumberFormat="1" applyFont="1" applyFill="1" applyBorder="1" applyAlignment="1">
      <alignment horizontal="center" vertical="center" wrapText="1"/>
    </xf>
    <xf numFmtId="164" fontId="3" fillId="6" borderId="28" xfId="0" applyNumberFormat="1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3" fillId="6" borderId="29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</cellXfs>
  <cellStyles count="6">
    <cellStyle name="Hiperlink 2" xfId="1" xr:uid="{00000000-0005-0000-0000-000001000000}"/>
    <cellStyle name="Normal" xfId="0" builtinId="0"/>
    <cellStyle name="Normal 2" xfId="2" xr:uid="{00000000-0005-0000-0000-000003000000}"/>
    <cellStyle name="Porcentagem 2" xfId="3" xr:uid="{00000000-0005-0000-0000-000004000000}"/>
    <cellStyle name="Vírgula" xfId="4" builtinId="3"/>
    <cellStyle name="Vírgula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4"/>
  <sheetViews>
    <sheetView tabSelected="1" topLeftCell="A50" zoomScale="110" zoomScaleNormal="110" zoomScalePageLayoutView="120" workbookViewId="0">
      <selection activeCell="B48" sqref="B48"/>
    </sheetView>
  </sheetViews>
  <sheetFormatPr defaultRowHeight="12.75" x14ac:dyDescent="0.2"/>
  <cols>
    <col min="1" max="1" width="73.85546875" style="1" customWidth="1"/>
    <col min="2" max="2" width="16.85546875" style="1" customWidth="1"/>
    <col min="3" max="3" width="15.7109375" style="1" customWidth="1"/>
    <col min="4" max="4" width="7.7109375" style="1" bestFit="1" customWidth="1"/>
    <col min="5" max="16384" width="9.140625" style="1"/>
  </cols>
  <sheetData>
    <row r="1" spans="1:4" x14ac:dyDescent="0.2">
      <c r="A1" s="161" t="s">
        <v>0</v>
      </c>
      <c r="B1" s="161"/>
      <c r="C1" s="161"/>
      <c r="D1" s="161"/>
    </row>
    <row r="2" spans="1:4" x14ac:dyDescent="0.2">
      <c r="A2" s="162" t="s">
        <v>1</v>
      </c>
      <c r="B2" s="162"/>
      <c r="C2" s="162"/>
      <c r="D2" s="162"/>
    </row>
    <row r="3" spans="1:4" x14ac:dyDescent="0.2">
      <c r="A3" s="162" t="s">
        <v>2</v>
      </c>
      <c r="B3" s="162"/>
      <c r="C3" s="162"/>
      <c r="D3" s="162"/>
    </row>
    <row r="4" spans="1:4" ht="13.5" thickBot="1" x14ac:dyDescent="0.25">
      <c r="B4" s="2"/>
      <c r="C4" s="2"/>
      <c r="D4" s="2"/>
    </row>
    <row r="5" spans="1:4" s="21" customFormat="1" ht="15.75" customHeight="1" thickBot="1" x14ac:dyDescent="0.3">
      <c r="A5" s="27" t="s">
        <v>3</v>
      </c>
      <c r="B5" s="28" t="s">
        <v>4</v>
      </c>
      <c r="C5" s="29" t="s">
        <v>5</v>
      </c>
      <c r="D5" s="30" t="s">
        <v>6</v>
      </c>
    </row>
    <row r="6" spans="1:4" s="21" customFormat="1" ht="36" customHeight="1" thickBot="1" x14ac:dyDescent="0.3">
      <c r="A6" s="31" t="s">
        <v>7</v>
      </c>
      <c r="B6" s="32"/>
      <c r="C6" s="7">
        <v>22013000</v>
      </c>
      <c r="D6" s="6">
        <v>1</v>
      </c>
    </row>
    <row r="7" spans="1:4" s="21" customFormat="1" ht="7.5" customHeight="1" thickBot="1" x14ac:dyDescent="0.3">
      <c r="A7" s="33"/>
      <c r="B7" s="34"/>
      <c r="C7" s="35"/>
      <c r="D7" s="36"/>
    </row>
    <row r="8" spans="1:4" s="21" customFormat="1" ht="15.75" customHeight="1" thickBot="1" x14ac:dyDescent="0.3">
      <c r="A8" s="156" t="s">
        <v>8</v>
      </c>
      <c r="B8" s="157"/>
      <c r="C8" s="70">
        <f>SUM(C9)+(C13)</f>
        <v>683457.04000000143</v>
      </c>
      <c r="D8" s="37"/>
    </row>
    <row r="9" spans="1:4" s="21" customFormat="1" ht="13.5" customHeight="1" thickBot="1" x14ac:dyDescent="0.3">
      <c r="A9" s="38" t="s">
        <v>9</v>
      </c>
      <c r="B9" s="39"/>
      <c r="C9" s="70">
        <f>SUM(B11)-(B10)-(B12)</f>
        <v>680794.85000000149</v>
      </c>
      <c r="D9" s="36"/>
    </row>
    <row r="10" spans="1:4" s="21" customFormat="1" ht="13.5" customHeight="1" x14ac:dyDescent="0.25">
      <c r="A10" s="40" t="s">
        <v>10</v>
      </c>
      <c r="B10" s="23">
        <v>20849000</v>
      </c>
      <c r="C10" s="41"/>
      <c r="D10" s="36"/>
    </row>
    <row r="11" spans="1:4" s="21" customFormat="1" ht="13.5" customHeight="1" x14ac:dyDescent="0.25">
      <c r="A11" s="40" t="s">
        <v>11</v>
      </c>
      <c r="B11" s="23">
        <v>21529794.850000001</v>
      </c>
      <c r="C11" s="39"/>
      <c r="D11" s="36"/>
    </row>
    <row r="12" spans="1:4" s="21" customFormat="1" ht="13.5" customHeight="1" thickBot="1" x14ac:dyDescent="0.3">
      <c r="A12" s="40" t="s">
        <v>12</v>
      </c>
      <c r="B12" s="23">
        <v>0</v>
      </c>
      <c r="C12" s="81"/>
      <c r="D12" s="36"/>
    </row>
    <row r="13" spans="1:4" s="21" customFormat="1" ht="13.5" customHeight="1" thickBot="1" x14ac:dyDescent="0.3">
      <c r="A13" s="43" t="s">
        <v>13</v>
      </c>
      <c r="B13" s="39"/>
      <c r="C13" s="70">
        <f>(B14)-(B15)</f>
        <v>2662.1899999999441</v>
      </c>
      <c r="D13" s="36"/>
    </row>
    <row r="14" spans="1:4" s="21" customFormat="1" ht="13.5" customHeight="1" thickBot="1" x14ac:dyDescent="0.3">
      <c r="A14" s="40" t="s">
        <v>14</v>
      </c>
      <c r="B14" s="23">
        <f>0.1*B10</f>
        <v>2084900</v>
      </c>
      <c r="C14" s="22"/>
      <c r="D14" s="36"/>
    </row>
    <row r="15" spans="1:4" s="21" customFormat="1" ht="24.75" customHeight="1" thickBot="1" x14ac:dyDescent="0.3">
      <c r="A15" s="80" t="s">
        <v>15</v>
      </c>
      <c r="B15" s="24">
        <v>2082237.81</v>
      </c>
      <c r="C15" s="42"/>
      <c r="D15" s="36"/>
    </row>
    <row r="16" spans="1:4" s="21" customFormat="1" ht="7.5" customHeight="1" thickBot="1" x14ac:dyDescent="0.3">
      <c r="A16" s="44"/>
      <c r="B16" s="45"/>
      <c r="C16" s="45"/>
      <c r="D16" s="36"/>
    </row>
    <row r="17" spans="1:4" s="21" customFormat="1" ht="15.75" customHeight="1" thickBot="1" x14ac:dyDescent="0.3">
      <c r="A17" s="156" t="s">
        <v>16</v>
      </c>
      <c r="B17" s="158"/>
      <c r="C17" s="157"/>
      <c r="D17" s="46"/>
    </row>
    <row r="18" spans="1:4" s="21" customFormat="1" ht="13.5" customHeight="1" thickBot="1" x14ac:dyDescent="0.3">
      <c r="A18" s="47" t="s">
        <v>17</v>
      </c>
      <c r="B18" s="48"/>
      <c r="C18" s="71">
        <f>C6*D18</f>
        <v>2201300</v>
      </c>
      <c r="D18" s="5">
        <v>0.1</v>
      </c>
    </row>
    <row r="19" spans="1:4" s="21" customFormat="1" ht="13.5" customHeight="1" x14ac:dyDescent="0.25">
      <c r="A19" s="40" t="s">
        <v>18</v>
      </c>
      <c r="B19" s="8">
        <f>'Plano de Custeio '!B7</f>
        <v>60637.5</v>
      </c>
      <c r="C19" s="49"/>
      <c r="D19" s="50"/>
    </row>
    <row r="20" spans="1:4" s="21" customFormat="1" ht="13.5" customHeight="1" x14ac:dyDescent="0.25">
      <c r="A20" s="40" t="s">
        <v>19</v>
      </c>
      <c r="B20" s="8">
        <f>'Plano de Custeio '!B12</f>
        <v>531937.55999999994</v>
      </c>
      <c r="C20" s="39"/>
      <c r="D20" s="36"/>
    </row>
    <row r="21" spans="1:4" s="21" customFormat="1" ht="13.5" customHeight="1" x14ac:dyDescent="0.25">
      <c r="A21" s="40" t="s">
        <v>20</v>
      </c>
      <c r="B21" s="8">
        <f>'Plano de Custeio '!B28</f>
        <v>85055.579999999987</v>
      </c>
      <c r="C21" s="39"/>
      <c r="D21" s="36"/>
    </row>
    <row r="22" spans="1:4" s="21" customFormat="1" ht="13.5" customHeight="1" x14ac:dyDescent="0.25">
      <c r="A22" s="51" t="s">
        <v>21</v>
      </c>
      <c r="B22" s="26">
        <f>'Plano de Custeio '!B33</f>
        <v>1523669.3600000003</v>
      </c>
      <c r="C22" s="52"/>
      <c r="D22" s="37"/>
    </row>
    <row r="23" spans="1:4" s="21" customFormat="1" ht="13.5" customHeight="1" thickBot="1" x14ac:dyDescent="0.3">
      <c r="A23" s="53" t="s">
        <v>22</v>
      </c>
      <c r="B23" s="9">
        <f>'Plano de Custeio '!B9</f>
        <v>0</v>
      </c>
      <c r="C23" s="54"/>
      <c r="D23" s="37"/>
    </row>
    <row r="24" spans="1:4" s="21" customFormat="1" ht="7.5" customHeight="1" thickBot="1" x14ac:dyDescent="0.3">
      <c r="A24" s="55"/>
      <c r="B24" s="56"/>
      <c r="C24" s="56"/>
      <c r="D24" s="36"/>
    </row>
    <row r="25" spans="1:4" s="21" customFormat="1" ht="15.75" customHeight="1" thickBot="1" x14ac:dyDescent="0.3">
      <c r="A25" s="156" t="s">
        <v>23</v>
      </c>
      <c r="B25" s="157"/>
      <c r="C25" s="70">
        <f>(C26)+(C31)+(C36)+(C41)+(C46)</f>
        <v>11271095.8608</v>
      </c>
      <c r="D25" s="36"/>
    </row>
    <row r="26" spans="1:4" s="21" customFormat="1" ht="13.5" customHeight="1" thickBot="1" x14ac:dyDescent="0.3">
      <c r="A26" s="38" t="s">
        <v>24</v>
      </c>
      <c r="B26" s="39"/>
      <c r="C26" s="70">
        <f>SUM(B30)+(B29)</f>
        <v>13568235.48</v>
      </c>
      <c r="D26" s="36"/>
    </row>
    <row r="27" spans="1:4" s="21" customFormat="1" ht="13.5" customHeight="1" x14ac:dyDescent="0.25">
      <c r="A27" s="40" t="s">
        <v>25</v>
      </c>
      <c r="B27" s="10">
        <v>7000000</v>
      </c>
      <c r="C27" s="41"/>
      <c r="D27" s="36"/>
    </row>
    <row r="28" spans="1:4" s="21" customFormat="1" ht="13.5" customHeight="1" x14ac:dyDescent="0.25">
      <c r="A28" s="40" t="s">
        <v>26</v>
      </c>
      <c r="B28" s="10">
        <v>10568235.48</v>
      </c>
      <c r="C28" s="39"/>
      <c r="D28" s="36"/>
    </row>
    <row r="29" spans="1:4" s="21" customFormat="1" ht="13.5" customHeight="1" x14ac:dyDescent="0.25">
      <c r="A29" s="40" t="s">
        <v>27</v>
      </c>
      <c r="B29" s="75">
        <f>(B28)-(B27)</f>
        <v>3568235.4800000004</v>
      </c>
      <c r="C29" s="39"/>
      <c r="D29" s="36"/>
    </row>
    <row r="30" spans="1:4" s="21" customFormat="1" ht="13.5" customHeight="1" thickBot="1" x14ac:dyDescent="0.3">
      <c r="A30" s="40" t="s">
        <v>28</v>
      </c>
      <c r="B30" s="146">
        <v>10000000</v>
      </c>
      <c r="C30" s="42"/>
      <c r="D30" s="36"/>
    </row>
    <row r="31" spans="1:4" s="21" customFormat="1" ht="13.5" customHeight="1" thickBot="1" x14ac:dyDescent="0.3">
      <c r="A31" s="43" t="s">
        <v>29</v>
      </c>
      <c r="B31" s="39"/>
      <c r="C31" s="70">
        <f>SUM(B34)-(B35)</f>
        <v>-2154171.9692000002</v>
      </c>
      <c r="D31" s="36"/>
    </row>
    <row r="32" spans="1:4" s="21" customFormat="1" ht="13.5" customHeight="1" x14ac:dyDescent="0.25">
      <c r="A32" s="40" t="s">
        <v>30</v>
      </c>
      <c r="B32" s="10">
        <v>1661445.96</v>
      </c>
      <c r="C32" s="41"/>
      <c r="D32" s="36"/>
    </row>
    <row r="33" spans="1:4" s="21" customFormat="1" ht="13.5" customHeight="1" x14ac:dyDescent="0.25">
      <c r="A33" s="40" t="s">
        <v>31</v>
      </c>
      <c r="B33" s="25">
        <v>1734941.31</v>
      </c>
      <c r="C33" s="39"/>
      <c r="D33" s="36"/>
    </row>
    <row r="34" spans="1:4" s="21" customFormat="1" ht="13.5" customHeight="1" x14ac:dyDescent="0.25">
      <c r="A34" s="40" t="s">
        <v>32</v>
      </c>
      <c r="B34" s="76">
        <f>(B32)-(B33)</f>
        <v>-73495.350000000093</v>
      </c>
      <c r="C34" s="39"/>
      <c r="D34" s="36"/>
    </row>
    <row r="35" spans="1:4" s="21" customFormat="1" ht="13.5" customHeight="1" thickBot="1" x14ac:dyDescent="0.3">
      <c r="A35" s="40" t="s">
        <v>33</v>
      </c>
      <c r="B35" s="77">
        <f>104033830.96*0.02</f>
        <v>2080676.6191999998</v>
      </c>
      <c r="C35" s="42"/>
      <c r="D35" s="36"/>
    </row>
    <row r="36" spans="1:4" s="21" customFormat="1" ht="13.5" customHeight="1" thickBot="1" x14ac:dyDescent="0.3">
      <c r="A36" s="43" t="s">
        <v>34</v>
      </c>
      <c r="B36" s="39"/>
      <c r="C36" s="70">
        <f>SUM(B39)-(B40)</f>
        <v>7034.4800000000105</v>
      </c>
      <c r="D36" s="36"/>
    </row>
    <row r="37" spans="1:4" s="21" customFormat="1" ht="13.5" customHeight="1" x14ac:dyDescent="0.25">
      <c r="A37" s="40" t="s">
        <v>35</v>
      </c>
      <c r="B37" s="25">
        <v>190000</v>
      </c>
      <c r="C37" s="41"/>
      <c r="D37" s="36"/>
    </row>
    <row r="38" spans="1:4" s="21" customFormat="1" ht="13.5" customHeight="1" x14ac:dyDescent="0.25">
      <c r="A38" s="40" t="s">
        <v>36</v>
      </c>
      <c r="B38" s="25">
        <v>57965.52</v>
      </c>
      <c r="C38" s="39"/>
      <c r="D38" s="36"/>
    </row>
    <row r="39" spans="1:4" s="21" customFormat="1" ht="13.5" customHeight="1" x14ac:dyDescent="0.25">
      <c r="A39" s="40" t="s">
        <v>37</v>
      </c>
      <c r="B39" s="75">
        <f>(B37)-(B38)</f>
        <v>132034.48000000001</v>
      </c>
      <c r="C39" s="39"/>
      <c r="D39" s="36"/>
    </row>
    <row r="40" spans="1:4" s="21" customFormat="1" ht="13.5" customHeight="1" x14ac:dyDescent="0.25">
      <c r="A40" s="40" t="s">
        <v>38</v>
      </c>
      <c r="B40" s="147">
        <v>125000</v>
      </c>
      <c r="C40" s="57"/>
      <c r="D40" s="36"/>
    </row>
    <row r="41" spans="1:4" s="21" customFormat="1" ht="13.5" customHeight="1" thickBot="1" x14ac:dyDescent="0.3">
      <c r="A41" s="43" t="s">
        <v>39</v>
      </c>
      <c r="B41" s="39"/>
      <c r="C41" s="70">
        <f>SUM(B44)-(B45)</f>
        <v>-594072.48</v>
      </c>
      <c r="D41" s="36"/>
    </row>
    <row r="42" spans="1:4" s="21" customFormat="1" ht="13.5" customHeight="1" x14ac:dyDescent="0.25">
      <c r="A42" s="40" t="s">
        <v>40</v>
      </c>
      <c r="B42" s="25">
        <v>416980</v>
      </c>
      <c r="C42" s="41"/>
      <c r="D42" s="36"/>
    </row>
    <row r="43" spans="1:4" s="21" customFormat="1" ht="13.5" customHeight="1" x14ac:dyDescent="0.25">
      <c r="A43" s="40" t="s">
        <v>41</v>
      </c>
      <c r="B43" s="25">
        <v>570792.48</v>
      </c>
      <c r="C43" s="39"/>
      <c r="D43" s="36"/>
    </row>
    <row r="44" spans="1:4" s="21" customFormat="1" ht="13.5" customHeight="1" x14ac:dyDescent="0.25">
      <c r="A44" s="40" t="s">
        <v>42</v>
      </c>
      <c r="B44" s="76">
        <f>(B42)-(B43)</f>
        <v>-153812.47999999998</v>
      </c>
      <c r="C44" s="39"/>
      <c r="D44" s="36"/>
    </row>
    <row r="45" spans="1:4" s="21" customFormat="1" ht="13.5" customHeight="1" thickBot="1" x14ac:dyDescent="0.3">
      <c r="A45" s="40" t="s">
        <v>43</v>
      </c>
      <c r="B45" s="148">
        <f>C6*0.02</f>
        <v>440260</v>
      </c>
      <c r="C45" s="42"/>
      <c r="D45" s="36"/>
    </row>
    <row r="46" spans="1:4" s="21" customFormat="1" ht="13.5" customHeight="1" thickBot="1" x14ac:dyDescent="0.3">
      <c r="A46" s="43" t="s">
        <v>44</v>
      </c>
      <c r="B46" s="39"/>
      <c r="C46" s="70">
        <f>SUM(B49)-(B50)</f>
        <v>444070.35</v>
      </c>
      <c r="D46" s="36"/>
    </row>
    <row r="47" spans="1:4" s="21" customFormat="1" ht="13.5" customHeight="1" x14ac:dyDescent="0.25">
      <c r="A47" s="40" t="s">
        <v>45</v>
      </c>
      <c r="B47" s="25">
        <v>444070.35</v>
      </c>
      <c r="C47" s="41"/>
      <c r="D47" s="36"/>
    </row>
    <row r="48" spans="1:4" s="21" customFormat="1" ht="13.5" customHeight="1" x14ac:dyDescent="0.25">
      <c r="A48" s="40" t="s">
        <v>46</v>
      </c>
      <c r="B48" s="155">
        <v>0</v>
      </c>
      <c r="C48" s="39"/>
      <c r="D48" s="36"/>
    </row>
    <row r="49" spans="1:4" s="21" customFormat="1" ht="13.5" customHeight="1" x14ac:dyDescent="0.25">
      <c r="A49" s="40" t="s">
        <v>47</v>
      </c>
      <c r="B49" s="76">
        <f>(B47)-(B48)</f>
        <v>444070.35</v>
      </c>
      <c r="C49" s="39"/>
      <c r="D49" s="36"/>
    </row>
    <row r="50" spans="1:4" s="21" customFormat="1" ht="13.5" customHeight="1" thickBot="1" x14ac:dyDescent="0.3">
      <c r="A50" s="40" t="s">
        <v>48</v>
      </c>
      <c r="B50" s="154">
        <v>0</v>
      </c>
      <c r="C50" s="42"/>
      <c r="D50" s="36"/>
    </row>
    <row r="51" spans="1:4" s="21" customFormat="1" ht="7.5" customHeight="1" thickBot="1" x14ac:dyDescent="0.3">
      <c r="A51" s="44"/>
      <c r="B51" s="58"/>
      <c r="C51" s="58"/>
      <c r="D51" s="36"/>
    </row>
    <row r="52" spans="1:4" s="21" customFormat="1" ht="15.75" customHeight="1" thickBot="1" x14ac:dyDescent="0.3">
      <c r="A52" s="156" t="s">
        <v>49</v>
      </c>
      <c r="B52" s="157"/>
      <c r="C52" s="82">
        <f>SUM(B53)+(B54)+(B55)</f>
        <v>11954552.900800001</v>
      </c>
      <c r="D52" s="36"/>
    </row>
    <row r="53" spans="1:4" s="21" customFormat="1" ht="13.5" customHeight="1" x14ac:dyDescent="0.25">
      <c r="A53" s="83" t="s">
        <v>50</v>
      </c>
      <c r="B53" s="89">
        <f>C8</f>
        <v>683457.04000000143</v>
      </c>
      <c r="C53" s="86"/>
      <c r="D53" s="36"/>
    </row>
    <row r="54" spans="1:4" s="21" customFormat="1" ht="13.5" customHeight="1" x14ac:dyDescent="0.25">
      <c r="A54" s="84" t="s">
        <v>51</v>
      </c>
      <c r="B54" s="72">
        <f>C25</f>
        <v>11271095.8608</v>
      </c>
      <c r="C54" s="87"/>
      <c r="D54" s="36"/>
    </row>
    <row r="55" spans="1:4" s="21" customFormat="1" ht="13.5" customHeight="1" thickBot="1" x14ac:dyDescent="0.3">
      <c r="A55" s="85" t="s">
        <v>52</v>
      </c>
      <c r="B55" s="94">
        <v>0</v>
      </c>
      <c r="C55" s="88"/>
      <c r="D55" s="36"/>
    </row>
    <row r="56" spans="1:4" s="21" customFormat="1" ht="7.5" customHeight="1" thickBot="1" x14ac:dyDescent="0.3">
      <c r="A56" s="58"/>
      <c r="B56" s="58"/>
      <c r="C56" s="58"/>
      <c r="D56" s="36"/>
    </row>
    <row r="57" spans="1:4" s="21" customFormat="1" ht="15.75" customHeight="1" thickBot="1" x14ac:dyDescent="0.3">
      <c r="A57" s="156" t="s">
        <v>53</v>
      </c>
      <c r="B57" s="158"/>
      <c r="C57" s="157"/>
      <c r="D57" s="46"/>
    </row>
    <row r="58" spans="1:4" s="19" customFormat="1" ht="13.5" customHeight="1" thickBot="1" x14ac:dyDescent="0.3">
      <c r="A58" s="59" t="s">
        <v>54</v>
      </c>
      <c r="B58" s="60"/>
      <c r="C58" s="70">
        <f>(C6)-(C18)</f>
        <v>19811700</v>
      </c>
      <c r="D58" s="73">
        <f>SUM(D6)-(D18)</f>
        <v>0.9</v>
      </c>
    </row>
    <row r="59" spans="1:4" s="19" customFormat="1" ht="13.5" customHeight="1" x14ac:dyDescent="0.25">
      <c r="A59" s="61" t="s">
        <v>55</v>
      </c>
      <c r="B59" s="60"/>
      <c r="C59" s="149">
        <v>0</v>
      </c>
      <c r="D59" s="62"/>
    </row>
    <row r="60" spans="1:4" s="19" customFormat="1" ht="13.5" customHeight="1" x14ac:dyDescent="0.25">
      <c r="A60" s="61" t="s">
        <v>56</v>
      </c>
      <c r="B60" s="60"/>
      <c r="C60" s="150">
        <v>0</v>
      </c>
      <c r="D60" s="63"/>
    </row>
    <row r="61" spans="1:4" s="19" customFormat="1" ht="13.5" customHeight="1" x14ac:dyDescent="0.25">
      <c r="A61" s="61" t="s">
        <v>57</v>
      </c>
      <c r="B61" s="60"/>
      <c r="C61" s="151">
        <v>0</v>
      </c>
      <c r="D61" s="63"/>
    </row>
    <row r="62" spans="1:4" s="19" customFormat="1" ht="13.5" customHeight="1" thickBot="1" x14ac:dyDescent="0.3">
      <c r="A62" s="61" t="s">
        <v>58</v>
      </c>
      <c r="B62" s="60"/>
      <c r="C62" s="70">
        <f>B63</f>
        <v>0</v>
      </c>
      <c r="D62" s="63"/>
    </row>
    <row r="63" spans="1:4" s="19" customFormat="1" ht="13.5" customHeight="1" x14ac:dyDescent="0.25">
      <c r="A63" s="64" t="s">
        <v>59</v>
      </c>
      <c r="B63" s="20">
        <v>0</v>
      </c>
      <c r="C63" s="60"/>
      <c r="D63" s="63"/>
    </row>
    <row r="64" spans="1:4" s="19" customFormat="1" ht="13.5" customHeight="1" thickBot="1" x14ac:dyDescent="0.3">
      <c r="A64" s="61" t="s">
        <v>60</v>
      </c>
      <c r="B64" s="65"/>
      <c r="C64" s="95">
        <f>B65+B66+B67</f>
        <v>1038179.57</v>
      </c>
      <c r="D64" s="63"/>
    </row>
    <row r="65" spans="1:4" s="19" customFormat="1" ht="13.5" customHeight="1" x14ac:dyDescent="0.25">
      <c r="A65" s="64" t="s">
        <v>61</v>
      </c>
      <c r="B65" s="74">
        <v>0</v>
      </c>
      <c r="C65" s="78"/>
      <c r="D65" s="63"/>
    </row>
    <row r="66" spans="1:4" s="19" customFormat="1" ht="13.5" customHeight="1" x14ac:dyDescent="0.25">
      <c r="A66" s="64" t="s">
        <v>62</v>
      </c>
      <c r="B66" s="74">
        <v>1038179.57</v>
      </c>
      <c r="C66" s="79"/>
      <c r="D66" s="63"/>
    </row>
    <row r="67" spans="1:4" s="19" customFormat="1" ht="13.5" customHeight="1" x14ac:dyDescent="0.25">
      <c r="A67" s="64" t="s">
        <v>63</v>
      </c>
      <c r="B67" s="74">
        <v>0</v>
      </c>
      <c r="C67" s="79"/>
      <c r="D67" s="63"/>
    </row>
    <row r="68" spans="1:4" s="19" customFormat="1" ht="13.5" customHeight="1" thickBot="1" x14ac:dyDescent="0.3">
      <c r="A68" s="61" t="s">
        <v>64</v>
      </c>
      <c r="B68" s="65"/>
      <c r="C68" s="71">
        <f>(B69)+(B70)</f>
        <v>22276871.050000004</v>
      </c>
      <c r="D68" s="63"/>
    </row>
    <row r="69" spans="1:4" s="19" customFormat="1" ht="13.5" customHeight="1" x14ac:dyDescent="0.25">
      <c r="A69" s="64" t="s">
        <v>65</v>
      </c>
      <c r="B69" s="20">
        <v>41063134.93</v>
      </c>
      <c r="C69" s="65"/>
      <c r="D69" s="63"/>
    </row>
    <row r="70" spans="1:4" s="19" customFormat="1" ht="36.75" thickBot="1" x14ac:dyDescent="0.3">
      <c r="A70" s="67" t="s">
        <v>66</v>
      </c>
      <c r="B70" s="66">
        <f>'Memória de cálculo Invest '!J101</f>
        <v>-18786263.879999995</v>
      </c>
      <c r="C70" s="69"/>
      <c r="D70" s="63"/>
    </row>
    <row r="71" spans="1:4" s="19" customFormat="1" ht="13.5" customHeight="1" x14ac:dyDescent="0.25">
      <c r="A71" s="61" t="s">
        <v>67</v>
      </c>
      <c r="B71" s="60"/>
      <c r="C71" s="152">
        <v>0</v>
      </c>
      <c r="D71" s="63"/>
    </row>
    <row r="72" spans="1:4" s="19" customFormat="1" ht="13.5" customHeight="1" thickBot="1" x14ac:dyDescent="0.3">
      <c r="A72" s="68" t="s">
        <v>68</v>
      </c>
      <c r="B72" s="69"/>
      <c r="C72" s="70">
        <f>C52</f>
        <v>11954552.900800001</v>
      </c>
      <c r="D72" s="63"/>
    </row>
    <row r="73" spans="1:4" s="21" customFormat="1" ht="15.75" customHeight="1" thickBot="1" x14ac:dyDescent="0.3">
      <c r="A73" s="159" t="s">
        <v>69</v>
      </c>
      <c r="B73" s="160"/>
      <c r="C73" s="70">
        <f>SUM(C58)-(C59)-(C60)-(C61)-(C62)+(C64)+(C68)+(C71)+(C72)</f>
        <v>55081303.520800009</v>
      </c>
      <c r="D73" s="36"/>
    </row>
    <row r="74" spans="1:4" ht="9" customHeight="1" x14ac:dyDescent="0.2">
      <c r="A74" s="3"/>
      <c r="B74" s="4"/>
      <c r="C74" s="4"/>
    </row>
  </sheetData>
  <sheetProtection password="D11B" sheet="1" formatCells="0" formatColumns="0" formatRows="0" insertColumns="0" insertRows="0" insertHyperlinks="0" deleteColumns="0" deleteRows="0"/>
  <mergeCells count="9">
    <mergeCell ref="A52:B52"/>
    <mergeCell ref="A17:C17"/>
    <mergeCell ref="A73:B73"/>
    <mergeCell ref="A57:C57"/>
    <mergeCell ref="A1:D1"/>
    <mergeCell ref="A2:D2"/>
    <mergeCell ref="A3:D3"/>
    <mergeCell ref="A8:B8"/>
    <mergeCell ref="A25:B25"/>
  </mergeCells>
  <pageMargins left="0.78740157480314965" right="0.23622047244094491" top="0.19685039370078741" bottom="0.19685039370078741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1"/>
  <sheetViews>
    <sheetView showGridLines="0" showWhiteSpace="0" topLeftCell="A23" zoomScaleNormal="100" workbookViewId="0">
      <selection activeCell="L20" sqref="L20"/>
    </sheetView>
  </sheetViews>
  <sheetFormatPr defaultRowHeight="15" x14ac:dyDescent="0.25"/>
  <cols>
    <col min="1" max="1" width="58.42578125" style="15" bestFit="1" customWidth="1"/>
    <col min="2" max="2" width="15.7109375" style="134" bestFit="1" customWidth="1"/>
    <col min="3" max="3" width="8.85546875" style="140" customWidth="1"/>
    <col min="4" max="4" width="3.7109375" style="15" customWidth="1"/>
    <col min="5" max="16384" width="9.140625" style="15"/>
  </cols>
  <sheetData>
    <row r="1" spans="1:19" x14ac:dyDescent="0.25">
      <c r="A1" s="163" t="s">
        <v>70</v>
      </c>
      <c r="B1" s="163"/>
      <c r="C1" s="163"/>
    </row>
    <row r="2" spans="1:19" x14ac:dyDescent="0.25">
      <c r="A2" s="163" t="s">
        <v>71</v>
      </c>
      <c r="B2" s="163"/>
      <c r="C2" s="163"/>
    </row>
    <row r="3" spans="1:19" x14ac:dyDescent="0.25">
      <c r="A3" s="163" t="s">
        <v>2</v>
      </c>
      <c r="B3" s="163"/>
      <c r="C3" s="163"/>
    </row>
    <row r="4" spans="1:19" ht="3" customHeight="1" x14ac:dyDescent="0.25">
      <c r="A4" s="122"/>
      <c r="B4" s="131"/>
      <c r="C4" s="136"/>
    </row>
    <row r="5" spans="1:19" ht="4.5" customHeight="1" x14ac:dyDescent="0.25">
      <c r="A5" s="122"/>
      <c r="B5" s="131"/>
      <c r="C5" s="137"/>
    </row>
    <row r="6" spans="1:19" x14ac:dyDescent="0.25">
      <c r="A6" s="16" t="s">
        <v>72</v>
      </c>
      <c r="B6" s="132" t="s">
        <v>73</v>
      </c>
      <c r="C6" s="17" t="s">
        <v>6</v>
      </c>
      <c r="E6" s="143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x14ac:dyDescent="0.25">
      <c r="A7" s="124" t="s">
        <v>74</v>
      </c>
      <c r="B7" s="133">
        <f>B11</f>
        <v>60637.5</v>
      </c>
      <c r="C7" s="135">
        <f t="shared" ref="C7:C12" si="0">B7/$B$51</f>
        <v>2.7546222686594284E-2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x14ac:dyDescent="0.25">
      <c r="A8" s="125" t="s">
        <v>75</v>
      </c>
      <c r="B8" s="126">
        <v>60637.5</v>
      </c>
      <c r="C8" s="141">
        <f t="shared" si="0"/>
        <v>2.7546222686594284E-2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x14ac:dyDescent="0.25">
      <c r="A9" s="125" t="s">
        <v>76</v>
      </c>
      <c r="B9" s="126">
        <v>0</v>
      </c>
      <c r="C9" s="141">
        <f t="shared" si="0"/>
        <v>0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x14ac:dyDescent="0.25">
      <c r="A10" s="125" t="s">
        <v>77</v>
      </c>
      <c r="B10" s="126">
        <v>0</v>
      </c>
      <c r="C10" s="141">
        <f t="shared" si="0"/>
        <v>0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x14ac:dyDescent="0.25">
      <c r="A11" s="127" t="s">
        <v>4</v>
      </c>
      <c r="B11" s="128">
        <f>SUM(B8:B10)</f>
        <v>60637.5</v>
      </c>
      <c r="C11" s="141">
        <f t="shared" si="0"/>
        <v>2.7546222686594284E-2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x14ac:dyDescent="0.25">
      <c r="A12" s="129" t="s">
        <v>78</v>
      </c>
      <c r="B12" s="133">
        <f>B20+B27</f>
        <v>531937.55999999994</v>
      </c>
      <c r="C12" s="135">
        <f t="shared" si="0"/>
        <v>0.24164700858583563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25">
      <c r="A13" s="127" t="s">
        <v>79</v>
      </c>
      <c r="B13" s="126">
        <v>0</v>
      </c>
      <c r="C13" s="141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25">
      <c r="A14" s="125" t="s">
        <v>80</v>
      </c>
      <c r="B14" s="130">
        <v>2205</v>
      </c>
      <c r="C14" s="141">
        <f t="shared" ref="C14:C20" si="1">B14/$B$51</f>
        <v>1.0016808249670649E-3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x14ac:dyDescent="0.25">
      <c r="A15" s="125" t="s">
        <v>81</v>
      </c>
      <c r="B15" s="130">
        <v>2138.98</v>
      </c>
      <c r="C15" s="141">
        <f t="shared" si="1"/>
        <v>9.7168945623040933E-4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x14ac:dyDescent="0.25">
      <c r="A16" s="125" t="s">
        <v>82</v>
      </c>
      <c r="B16" s="130">
        <v>0</v>
      </c>
      <c r="C16" s="141">
        <f t="shared" si="1"/>
        <v>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125" t="s">
        <v>83</v>
      </c>
      <c r="B17" s="130">
        <v>5495.57</v>
      </c>
      <c r="C17" s="141">
        <f t="shared" si="1"/>
        <v>2.4965111525007948E-3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125" t="s">
        <v>84</v>
      </c>
      <c r="B18" s="130">
        <v>2205</v>
      </c>
      <c r="C18" s="141">
        <f t="shared" si="1"/>
        <v>1.0016808249670649E-3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125" t="s">
        <v>85</v>
      </c>
      <c r="B19" s="130">
        <f>1102.5+551.25+334.83</f>
        <v>1988.58</v>
      </c>
      <c r="C19" s="141">
        <f t="shared" si="1"/>
        <v>9.0336619270431102E-4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127" t="s">
        <v>4</v>
      </c>
      <c r="B20" s="130">
        <f>SUM(B14:B19)</f>
        <v>14033.13</v>
      </c>
      <c r="C20" s="142">
        <f t="shared" si="1"/>
        <v>6.374928451369645E-3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127" t="s">
        <v>86</v>
      </c>
      <c r="B21" s="126">
        <v>0</v>
      </c>
      <c r="C21" s="14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125" t="s">
        <v>87</v>
      </c>
      <c r="B22" s="130">
        <f>71442+74970+31500</f>
        <v>177912</v>
      </c>
      <c r="C22" s="141">
        <f t="shared" ref="C22:C50" si="2">B22/$B$51</f>
        <v>8.0821332848771174E-2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125" t="s">
        <v>88</v>
      </c>
      <c r="B23" s="130">
        <v>1102.5</v>
      </c>
      <c r="C23" s="141">
        <f t="shared" si="2"/>
        <v>5.0084041248353247E-4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 x14ac:dyDescent="0.25">
      <c r="A24" s="125" t="s">
        <v>89</v>
      </c>
      <c r="B24" s="130">
        <f>89959.2+1653.2+5512.5+1740.76+90375+1708.65+2205+18742.5+8596.72+2468.51+80000+7614.76+4547.12+5946.01+17820</f>
        <v>338889.93</v>
      </c>
      <c r="C24" s="141">
        <f t="shared" si="2"/>
        <v>0.15394990687321128</v>
      </c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/>
      <c r="S24"/>
    </row>
    <row r="25" spans="1:19" x14ac:dyDescent="0.25">
      <c r="A25" s="125" t="s">
        <v>90</v>
      </c>
      <c r="B25" s="130">
        <v>0</v>
      </c>
      <c r="C25" s="141">
        <f t="shared" si="2"/>
        <v>0</v>
      </c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/>
      <c r="S25"/>
    </row>
    <row r="26" spans="1:19" x14ac:dyDescent="0.25">
      <c r="A26" s="125" t="s">
        <v>91</v>
      </c>
      <c r="B26" s="130">
        <v>0</v>
      </c>
      <c r="C26" s="141">
        <f t="shared" si="2"/>
        <v>0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127" t="s">
        <v>4</v>
      </c>
      <c r="B27" s="144">
        <f>SUM(B22:B26)</f>
        <v>517904.43</v>
      </c>
      <c r="C27" s="142">
        <f t="shared" si="2"/>
        <v>0.23527208013446599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129" t="s">
        <v>92</v>
      </c>
      <c r="B28" s="133">
        <f>B32</f>
        <v>85055.579999999987</v>
      </c>
      <c r="C28" s="135">
        <f t="shared" si="2"/>
        <v>3.8638795257347924E-2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125" t="s">
        <v>93</v>
      </c>
      <c r="B29" s="130">
        <f>4544.99+46543.09+26250</f>
        <v>77338.079999999987</v>
      </c>
      <c r="C29" s="141">
        <f t="shared" si="2"/>
        <v>3.5132912369963194E-2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125" t="s">
        <v>94</v>
      </c>
      <c r="B30" s="130">
        <v>7717.5</v>
      </c>
      <c r="C30" s="141">
        <f t="shared" si="2"/>
        <v>3.505882887384727E-3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125" t="s">
        <v>95</v>
      </c>
      <c r="B31" s="130">
        <v>0</v>
      </c>
      <c r="C31" s="141">
        <f t="shared" si="2"/>
        <v>0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127" t="s">
        <v>4</v>
      </c>
      <c r="B32" s="144">
        <f>SUM(B29:B31)</f>
        <v>85055.579999999987</v>
      </c>
      <c r="C32" s="142">
        <f t="shared" si="2"/>
        <v>3.8638795257347924E-2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129" t="s">
        <v>96</v>
      </c>
      <c r="B33" s="133">
        <f>B50</f>
        <v>1523669.3600000003</v>
      </c>
      <c r="C33" s="135">
        <f t="shared" si="2"/>
        <v>0.6921679734702223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125" t="s">
        <v>97</v>
      </c>
      <c r="B34" s="130">
        <f>694699.93-B39</f>
        <v>627333.97000000009</v>
      </c>
      <c r="C34" s="141">
        <f t="shared" si="2"/>
        <v>0.2849834052605279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125" t="s">
        <v>98</v>
      </c>
      <c r="B35" s="130">
        <v>84206.05</v>
      </c>
      <c r="C35" s="141">
        <f t="shared" si="2"/>
        <v>3.8252873302139646E-2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125" t="s">
        <v>99</v>
      </c>
      <c r="B36" s="130">
        <v>63154.54</v>
      </c>
      <c r="C36" s="141">
        <f t="shared" si="2"/>
        <v>2.868965611229728E-2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125" t="s">
        <v>100</v>
      </c>
      <c r="B37" s="130">
        <v>0</v>
      </c>
      <c r="C37" s="141">
        <f t="shared" si="2"/>
        <v>0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125" t="s">
        <v>101</v>
      </c>
      <c r="B38" s="130">
        <v>0</v>
      </c>
      <c r="C38" s="141">
        <f t="shared" si="2"/>
        <v>0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125" t="s">
        <v>102</v>
      </c>
      <c r="B39" s="130">
        <f>(1274.6+567.56+1274.6+1222.47+1274.6)*12</f>
        <v>67365.959999999992</v>
      </c>
      <c r="C39" s="141">
        <f t="shared" si="2"/>
        <v>3.0602807431972013E-2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125" t="s">
        <v>103</v>
      </c>
      <c r="B40" s="130">
        <v>225672.22</v>
      </c>
      <c r="C40" s="141">
        <f t="shared" si="2"/>
        <v>0.10251770317539635</v>
      </c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125" t="s">
        <v>104</v>
      </c>
      <c r="B41" s="130">
        <v>8420.61</v>
      </c>
      <c r="C41" s="141">
        <f t="shared" si="2"/>
        <v>3.8252896015990552E-3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125" t="s">
        <v>105</v>
      </c>
      <c r="B42" s="130">
        <v>67364.84</v>
      </c>
      <c r="C42" s="141">
        <f t="shared" si="2"/>
        <v>3.0602298641711715E-2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125" t="s">
        <v>106</v>
      </c>
      <c r="B43" s="130">
        <v>120506.4</v>
      </c>
      <c r="C43" s="141">
        <f t="shared" si="2"/>
        <v>5.4743288057057193E-2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125" t="s">
        <v>107</v>
      </c>
      <c r="B44" s="130">
        <v>247733.64</v>
      </c>
      <c r="C44" s="141">
        <f t="shared" si="2"/>
        <v>0.11253969926861401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125" t="s">
        <v>108</v>
      </c>
      <c r="B45" s="130">
        <v>3091.13</v>
      </c>
      <c r="C45" s="141">
        <f t="shared" si="2"/>
        <v>1.40422931903875E-3</v>
      </c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125" t="s">
        <v>109</v>
      </c>
      <c r="B46" s="130">
        <v>0</v>
      </c>
      <c r="C46" s="141">
        <f t="shared" si="2"/>
        <v>0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125" t="s">
        <v>110</v>
      </c>
      <c r="B47" s="130">
        <v>0</v>
      </c>
      <c r="C47" s="141">
        <f t="shared" si="2"/>
        <v>0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125" t="s">
        <v>111</v>
      </c>
      <c r="B48" s="130">
        <v>3307.5</v>
      </c>
      <c r="C48" s="141">
        <f t="shared" si="2"/>
        <v>1.5025212374505973E-3</v>
      </c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125" t="s">
        <v>112</v>
      </c>
      <c r="B49" s="130">
        <v>5512.5</v>
      </c>
      <c r="C49" s="141">
        <f t="shared" si="2"/>
        <v>2.5042020624176623E-3</v>
      </c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127" t="s">
        <v>4</v>
      </c>
      <c r="B50" s="144">
        <f>SUM(B34:B49)</f>
        <v>1523669.3600000003</v>
      </c>
      <c r="C50" s="142">
        <f t="shared" si="2"/>
        <v>0.6921679734702223</v>
      </c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16" t="s">
        <v>113</v>
      </c>
      <c r="B51" s="123">
        <f>B7+B12+B28+B33</f>
        <v>2201300</v>
      </c>
      <c r="C51" s="138">
        <v>1</v>
      </c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18"/>
      <c r="C52" s="139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</sheetData>
  <mergeCells count="3">
    <mergeCell ref="A1:C1"/>
    <mergeCell ref="A2:C2"/>
    <mergeCell ref="A3:C3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1"/>
  <sheetViews>
    <sheetView topLeftCell="A43" zoomScale="120" zoomScaleNormal="120" workbookViewId="0">
      <selection activeCell="A99" sqref="A99"/>
    </sheetView>
  </sheetViews>
  <sheetFormatPr defaultRowHeight="15" x14ac:dyDescent="0.25"/>
  <cols>
    <col min="1" max="1" width="17.85546875" customWidth="1"/>
    <col min="2" max="2" width="9.7109375" customWidth="1"/>
    <col min="3" max="3" width="11.7109375" customWidth="1"/>
    <col min="4" max="5" width="10.7109375" customWidth="1"/>
    <col min="6" max="11" width="17.7109375" customWidth="1"/>
  </cols>
  <sheetData>
    <row r="1" spans="1:11" ht="12" customHeight="1" x14ac:dyDescent="0.25">
      <c r="A1" s="176" t="s">
        <v>114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12" customHeight="1" x14ac:dyDescent="0.25">
      <c r="A2" s="163" t="s">
        <v>115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12" customHeight="1" x14ac:dyDescent="0.25">
      <c r="A3" s="176" t="s">
        <v>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1" ht="15" customHeight="1" thickBo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s="110" customFormat="1" ht="15" customHeight="1" x14ac:dyDescent="0.2">
      <c r="A5" s="166" t="s">
        <v>116</v>
      </c>
      <c r="B5" s="167"/>
      <c r="C5" s="167"/>
      <c r="D5" s="167"/>
      <c r="E5" s="167"/>
      <c r="F5" s="167"/>
      <c r="G5" s="167"/>
      <c r="H5" s="167"/>
      <c r="I5" s="167"/>
      <c r="J5" s="167"/>
      <c r="K5" s="168"/>
    </row>
    <row r="6" spans="1:11" s="110" customFormat="1" ht="21.75" customHeight="1" x14ac:dyDescent="0.2">
      <c r="A6" s="108" t="s">
        <v>117</v>
      </c>
      <c r="B6" s="169" t="s">
        <v>118</v>
      </c>
      <c r="C6" s="169"/>
      <c r="D6" s="169"/>
      <c r="E6" s="169"/>
      <c r="F6" s="169" t="s">
        <v>119</v>
      </c>
      <c r="G6" s="169"/>
      <c r="H6" s="169" t="s">
        <v>120</v>
      </c>
      <c r="I6" s="169"/>
      <c r="J6" s="169"/>
      <c r="K6" s="109" t="s">
        <v>119</v>
      </c>
    </row>
    <row r="7" spans="1:11" s="110" customFormat="1" ht="11.25" x14ac:dyDescent="0.2">
      <c r="A7" s="111" t="s">
        <v>121</v>
      </c>
      <c r="B7" s="170" t="s">
        <v>122</v>
      </c>
      <c r="C7" s="170"/>
      <c r="D7" s="170"/>
      <c r="E7" s="170"/>
      <c r="F7" s="170" t="s">
        <v>122</v>
      </c>
      <c r="G7" s="170"/>
      <c r="H7" s="170" t="s">
        <v>123</v>
      </c>
      <c r="I7" s="170"/>
      <c r="J7" s="170"/>
      <c r="K7" s="112" t="s">
        <v>124</v>
      </c>
    </row>
    <row r="8" spans="1:11" s="110" customFormat="1" ht="11.25" x14ac:dyDescent="0.2">
      <c r="A8" s="111" t="s">
        <v>125</v>
      </c>
      <c r="B8" s="170" t="s">
        <v>126</v>
      </c>
      <c r="C8" s="170"/>
      <c r="D8" s="170"/>
      <c r="E8" s="170"/>
      <c r="F8" s="170" t="s">
        <v>127</v>
      </c>
      <c r="G8" s="170"/>
      <c r="H8" s="170" t="s">
        <v>128</v>
      </c>
      <c r="I8" s="170"/>
      <c r="J8" s="170"/>
      <c r="K8" s="112" t="s">
        <v>124</v>
      </c>
    </row>
    <row r="9" spans="1:11" s="110" customFormat="1" ht="11.25" x14ac:dyDescent="0.2">
      <c r="A9" s="111" t="s">
        <v>129</v>
      </c>
      <c r="B9" s="170" t="s">
        <v>122</v>
      </c>
      <c r="C9" s="170"/>
      <c r="D9" s="170"/>
      <c r="E9" s="170"/>
      <c r="F9" s="170" t="s">
        <v>122</v>
      </c>
      <c r="G9" s="170"/>
      <c r="H9" s="170" t="s">
        <v>128</v>
      </c>
      <c r="I9" s="170"/>
      <c r="J9" s="170"/>
      <c r="K9" s="112" t="s">
        <v>124</v>
      </c>
    </row>
    <row r="10" spans="1:11" s="110" customFormat="1" ht="11.25" x14ac:dyDescent="0.2">
      <c r="A10" s="113" t="s">
        <v>130</v>
      </c>
      <c r="B10" s="170" t="s">
        <v>131</v>
      </c>
      <c r="C10" s="170"/>
      <c r="D10" s="170"/>
      <c r="E10" s="170"/>
      <c r="F10" s="170" t="s">
        <v>127</v>
      </c>
      <c r="G10" s="170"/>
      <c r="H10" s="170" t="s">
        <v>131</v>
      </c>
      <c r="I10" s="170"/>
      <c r="J10" s="170"/>
      <c r="K10" s="112" t="s">
        <v>127</v>
      </c>
    </row>
    <row r="11" spans="1:11" s="110" customFormat="1" ht="11.25" x14ac:dyDescent="0.2">
      <c r="A11" s="114" t="s">
        <v>132</v>
      </c>
      <c r="B11" s="171" t="s">
        <v>133</v>
      </c>
      <c r="C11" s="171"/>
      <c r="D11" s="171"/>
      <c r="E11" s="171"/>
      <c r="F11" s="171" t="s">
        <v>127</v>
      </c>
      <c r="G11" s="171"/>
      <c r="H11" s="171" t="s">
        <v>122</v>
      </c>
      <c r="I11" s="171"/>
      <c r="J11" s="171"/>
      <c r="K11" s="115" t="s">
        <v>122</v>
      </c>
    </row>
    <row r="12" spans="1:11" ht="8.2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8.25" customHeight="1" x14ac:dyDescent="0.25"/>
    <row r="14" spans="1:11" ht="8.25" customHeight="1" thickBot="1" x14ac:dyDescent="0.3"/>
    <row r="15" spans="1:11" ht="37.5" customHeight="1" x14ac:dyDescent="0.25">
      <c r="A15" s="91" t="s">
        <v>134</v>
      </c>
      <c r="B15" s="92" t="s">
        <v>135</v>
      </c>
      <c r="C15" s="92" t="s">
        <v>136</v>
      </c>
      <c r="D15" s="92" t="s">
        <v>137</v>
      </c>
      <c r="E15" s="92" t="s">
        <v>138</v>
      </c>
      <c r="F15" s="92" t="s">
        <v>139</v>
      </c>
      <c r="G15" s="92" t="s">
        <v>140</v>
      </c>
      <c r="H15" s="92" t="s">
        <v>141</v>
      </c>
      <c r="I15" s="92" t="s">
        <v>142</v>
      </c>
      <c r="J15" s="92" t="s">
        <v>143</v>
      </c>
      <c r="K15" s="93" t="s">
        <v>144</v>
      </c>
    </row>
    <row r="16" spans="1:11" ht="15.75" customHeight="1" x14ac:dyDescent="0.25">
      <c r="A16" s="12" t="s">
        <v>145</v>
      </c>
      <c r="B16" s="97" t="s">
        <v>122</v>
      </c>
      <c r="C16" s="12" t="s">
        <v>132</v>
      </c>
      <c r="D16" s="12"/>
      <c r="E16" s="105" t="s">
        <v>122</v>
      </c>
      <c r="F16" s="100">
        <v>2000000</v>
      </c>
      <c r="G16" s="100"/>
      <c r="H16" s="100"/>
      <c r="I16" s="100"/>
      <c r="J16" s="100">
        <v>2000000</v>
      </c>
      <c r="K16" s="102"/>
    </row>
    <row r="17" spans="1:11" ht="15.75" customHeight="1" x14ac:dyDescent="0.25">
      <c r="A17" s="12" t="s">
        <v>146</v>
      </c>
      <c r="B17" s="97" t="s">
        <v>122</v>
      </c>
      <c r="C17" s="12" t="s">
        <v>132</v>
      </c>
      <c r="D17" s="12"/>
      <c r="E17" s="105" t="s">
        <v>122</v>
      </c>
      <c r="F17" s="100">
        <v>230563.3</v>
      </c>
      <c r="G17" s="100"/>
      <c r="H17" s="100"/>
      <c r="I17" s="100"/>
      <c r="J17" s="100">
        <v>230563.3</v>
      </c>
      <c r="K17" s="102"/>
    </row>
    <row r="18" spans="1:11" ht="15.75" customHeight="1" x14ac:dyDescent="0.25">
      <c r="A18" s="12" t="s">
        <v>147</v>
      </c>
      <c r="B18" s="99" t="s">
        <v>122</v>
      </c>
      <c r="C18" s="12" t="s">
        <v>132</v>
      </c>
      <c r="D18" s="14"/>
      <c r="E18" s="105" t="s">
        <v>122</v>
      </c>
      <c r="F18" s="100">
        <v>229033.08</v>
      </c>
      <c r="G18" s="100"/>
      <c r="H18" s="100"/>
      <c r="I18" s="100"/>
      <c r="J18" s="101">
        <v>229033.08</v>
      </c>
      <c r="K18" s="103"/>
    </row>
    <row r="19" spans="1:11" ht="15.75" customHeight="1" x14ac:dyDescent="0.25">
      <c r="A19" s="12" t="s">
        <v>148</v>
      </c>
      <c r="B19" s="99" t="s">
        <v>122</v>
      </c>
      <c r="C19" s="12" t="s">
        <v>132</v>
      </c>
      <c r="D19" s="14"/>
      <c r="E19" s="105" t="s">
        <v>122</v>
      </c>
      <c r="F19" s="100">
        <v>258845.88</v>
      </c>
      <c r="G19" s="100"/>
      <c r="H19" s="100"/>
      <c r="I19" s="100"/>
      <c r="J19" s="101">
        <v>258845.88</v>
      </c>
      <c r="K19" s="103"/>
    </row>
    <row r="20" spans="1:11" ht="15.75" customHeight="1" x14ac:dyDescent="0.25">
      <c r="A20" s="12" t="s">
        <v>149</v>
      </c>
      <c r="B20" s="12" t="s">
        <v>150</v>
      </c>
      <c r="C20" s="12" t="s">
        <v>132</v>
      </c>
      <c r="D20" s="96">
        <v>44630</v>
      </c>
      <c r="E20" s="105">
        <v>45205</v>
      </c>
      <c r="F20" s="100">
        <v>184237.37</v>
      </c>
      <c r="G20" s="100">
        <v>184237.37</v>
      </c>
      <c r="H20" s="100"/>
      <c r="I20" s="100">
        <v>0</v>
      </c>
      <c r="J20" s="106">
        <f>G20</f>
        <v>184237.37</v>
      </c>
      <c r="K20" s="98"/>
    </row>
    <row r="21" spans="1:11" ht="15.75" customHeight="1" x14ac:dyDescent="0.25">
      <c r="A21" s="12" t="s">
        <v>151</v>
      </c>
      <c r="B21" s="13" t="s">
        <v>152</v>
      </c>
      <c r="C21" s="13" t="s">
        <v>130</v>
      </c>
      <c r="D21" s="96">
        <v>43812</v>
      </c>
      <c r="E21" s="96">
        <v>44979</v>
      </c>
      <c r="F21" s="107"/>
      <c r="G21" s="100">
        <v>5687010.75</v>
      </c>
      <c r="H21" s="100"/>
      <c r="I21" s="100">
        <v>5553064.7199999997</v>
      </c>
      <c r="J21" s="106">
        <f>G21-I21</f>
        <v>133946.03000000026</v>
      </c>
      <c r="K21" s="103"/>
    </row>
    <row r="22" spans="1:11" ht="15.75" customHeight="1" x14ac:dyDescent="0.25">
      <c r="A22" s="12" t="s">
        <v>153</v>
      </c>
      <c r="B22" s="13" t="s">
        <v>154</v>
      </c>
      <c r="C22" s="13" t="s">
        <v>130</v>
      </c>
      <c r="D22" s="96">
        <v>43825</v>
      </c>
      <c r="E22" s="96">
        <v>45103</v>
      </c>
      <c r="F22" s="107"/>
      <c r="G22" s="100">
        <v>2537529.59</v>
      </c>
      <c r="H22" s="100"/>
      <c r="I22" s="100">
        <v>2438476.5699999998</v>
      </c>
      <c r="J22" s="106">
        <f t="shared" ref="J22:J27" si="0">G22-I22</f>
        <v>99053.020000000019</v>
      </c>
      <c r="K22" s="103"/>
    </row>
    <row r="23" spans="1:11" ht="15.75" customHeight="1" x14ac:dyDescent="0.25">
      <c r="A23" s="12" t="s">
        <v>155</v>
      </c>
      <c r="B23" s="13" t="s">
        <v>156</v>
      </c>
      <c r="C23" s="13" t="s">
        <v>130</v>
      </c>
      <c r="D23" s="96">
        <v>43664</v>
      </c>
      <c r="E23" s="96">
        <v>45215</v>
      </c>
      <c r="F23" s="107"/>
      <c r="G23" s="100">
        <v>2275283.62</v>
      </c>
      <c r="H23" s="100"/>
      <c r="I23" s="100">
        <v>2275283.62</v>
      </c>
      <c r="J23" s="106">
        <f>G23-I23</f>
        <v>0</v>
      </c>
      <c r="K23" s="104"/>
    </row>
    <row r="24" spans="1:11" ht="15.75" customHeight="1" x14ac:dyDescent="0.25">
      <c r="A24" s="12" t="s">
        <v>157</v>
      </c>
      <c r="B24" s="13" t="s">
        <v>158</v>
      </c>
      <c r="C24" s="13" t="s">
        <v>130</v>
      </c>
      <c r="D24" s="96">
        <v>42373</v>
      </c>
      <c r="E24" s="96">
        <v>44929</v>
      </c>
      <c r="F24" s="107"/>
      <c r="G24" s="100">
        <v>6635611.5999999996</v>
      </c>
      <c r="H24" s="100"/>
      <c r="I24" s="100">
        <v>4612444.9400000004</v>
      </c>
      <c r="J24" s="106">
        <f t="shared" si="0"/>
        <v>2023166.6599999992</v>
      </c>
      <c r="K24" s="104"/>
    </row>
    <row r="25" spans="1:11" ht="15.75" customHeight="1" x14ac:dyDescent="0.25">
      <c r="A25" s="12" t="s">
        <v>159</v>
      </c>
      <c r="B25" s="13" t="s">
        <v>160</v>
      </c>
      <c r="C25" s="13" t="s">
        <v>130</v>
      </c>
      <c r="D25" s="96">
        <v>42706</v>
      </c>
      <c r="E25" s="96">
        <v>44930</v>
      </c>
      <c r="F25" s="107"/>
      <c r="G25" s="100">
        <v>2440682.2799999998</v>
      </c>
      <c r="H25" s="100"/>
      <c r="I25" s="100">
        <v>1922384.96</v>
      </c>
      <c r="J25" s="106">
        <f t="shared" si="0"/>
        <v>518297.31999999983</v>
      </c>
      <c r="K25" s="104"/>
    </row>
    <row r="26" spans="1:11" ht="15.75" customHeight="1" x14ac:dyDescent="0.25">
      <c r="A26" s="12" t="s">
        <v>161</v>
      </c>
      <c r="B26" s="13" t="s">
        <v>162</v>
      </c>
      <c r="C26" s="13" t="s">
        <v>130</v>
      </c>
      <c r="D26" s="96">
        <v>42800</v>
      </c>
      <c r="E26" s="96">
        <v>45044</v>
      </c>
      <c r="F26" s="107"/>
      <c r="G26" s="100">
        <v>4888684.8899999997</v>
      </c>
      <c r="H26" s="100"/>
      <c r="I26" s="100">
        <v>4170845.06</v>
      </c>
      <c r="J26" s="106">
        <f t="shared" si="0"/>
        <v>717839.82999999961</v>
      </c>
      <c r="K26" s="103"/>
    </row>
    <row r="27" spans="1:11" ht="15.75" customHeight="1" x14ac:dyDescent="0.25">
      <c r="A27" s="12" t="s">
        <v>163</v>
      </c>
      <c r="B27" s="13" t="s">
        <v>164</v>
      </c>
      <c r="C27" s="13" t="s">
        <v>130</v>
      </c>
      <c r="D27" s="96">
        <v>43405</v>
      </c>
      <c r="E27" s="96">
        <v>44930</v>
      </c>
      <c r="F27" s="107"/>
      <c r="G27" s="100">
        <v>140311.04000000001</v>
      </c>
      <c r="H27" s="100"/>
      <c r="I27" s="100">
        <v>89799.07</v>
      </c>
      <c r="J27" s="106">
        <f t="shared" si="0"/>
        <v>50511.97</v>
      </c>
      <c r="K27" s="103"/>
    </row>
    <row r="28" spans="1:11" ht="15.75" customHeight="1" x14ac:dyDescent="0.25">
      <c r="A28" s="116" t="s">
        <v>165</v>
      </c>
      <c r="B28" s="116" t="s">
        <v>166</v>
      </c>
      <c r="C28" s="116" t="s">
        <v>167</v>
      </c>
      <c r="D28" s="117">
        <v>45121</v>
      </c>
      <c r="E28" s="117"/>
      <c r="F28" s="118">
        <v>300585.8</v>
      </c>
      <c r="G28" s="119">
        <v>300585.8</v>
      </c>
      <c r="H28" s="119"/>
      <c r="I28" s="119"/>
      <c r="J28" s="120">
        <f>F28-G28</f>
        <v>0</v>
      </c>
      <c r="K28" s="121"/>
    </row>
    <row r="29" spans="1:11" ht="15.75" customHeight="1" x14ac:dyDescent="0.25">
      <c r="A29" s="116" t="s">
        <v>168</v>
      </c>
      <c r="B29" s="116" t="s">
        <v>169</v>
      </c>
      <c r="C29" s="116" t="s">
        <v>167</v>
      </c>
      <c r="D29" s="117">
        <v>45121</v>
      </c>
      <c r="E29" s="117"/>
      <c r="F29" s="118">
        <v>255786</v>
      </c>
      <c r="G29" s="119">
        <v>255786</v>
      </c>
      <c r="H29" s="119"/>
      <c r="I29" s="119"/>
      <c r="J29" s="120">
        <f t="shared" ref="J29:J61" si="1">F29-G29</f>
        <v>0</v>
      </c>
      <c r="K29" s="121"/>
    </row>
    <row r="30" spans="1:11" ht="15.75" customHeight="1" x14ac:dyDescent="0.25">
      <c r="A30" s="116" t="s">
        <v>170</v>
      </c>
      <c r="B30" s="116" t="s">
        <v>171</v>
      </c>
      <c r="C30" s="116" t="s">
        <v>167</v>
      </c>
      <c r="D30" s="117">
        <v>45131</v>
      </c>
      <c r="E30" s="117"/>
      <c r="F30" s="118">
        <v>298832.5</v>
      </c>
      <c r="G30" s="119">
        <v>298832.5</v>
      </c>
      <c r="H30" s="119"/>
      <c r="I30" s="119"/>
      <c r="J30" s="120">
        <f t="shared" si="1"/>
        <v>0</v>
      </c>
      <c r="K30" s="121"/>
    </row>
    <row r="31" spans="1:11" ht="15.75" customHeight="1" x14ac:dyDescent="0.25">
      <c r="A31" s="116" t="s">
        <v>172</v>
      </c>
      <c r="B31" s="116" t="s">
        <v>173</v>
      </c>
      <c r="C31" s="116" t="s">
        <v>167</v>
      </c>
      <c r="D31" s="117">
        <v>45121</v>
      </c>
      <c r="E31" s="117"/>
      <c r="F31" s="118">
        <v>202307.04</v>
      </c>
      <c r="G31" s="119">
        <v>202307.04</v>
      </c>
      <c r="H31" s="119"/>
      <c r="I31" s="119"/>
      <c r="J31" s="120">
        <f t="shared" si="1"/>
        <v>0</v>
      </c>
      <c r="K31" s="121"/>
    </row>
    <row r="32" spans="1:11" ht="15.75" customHeight="1" x14ac:dyDescent="0.25">
      <c r="A32" s="116" t="s">
        <v>174</v>
      </c>
      <c r="B32" s="116" t="s">
        <v>175</v>
      </c>
      <c r="C32" s="116" t="s">
        <v>167</v>
      </c>
      <c r="D32" s="117">
        <v>45121</v>
      </c>
      <c r="E32" s="117"/>
      <c r="F32" s="118">
        <v>322084.96000000002</v>
      </c>
      <c r="G32" s="119">
        <v>322084.96000000002</v>
      </c>
      <c r="H32" s="119"/>
      <c r="I32" s="119"/>
      <c r="J32" s="120">
        <f t="shared" si="1"/>
        <v>0</v>
      </c>
      <c r="K32" s="121"/>
    </row>
    <row r="33" spans="1:11" ht="15.75" customHeight="1" x14ac:dyDescent="0.25">
      <c r="A33" s="116" t="s">
        <v>176</v>
      </c>
      <c r="B33" s="116" t="s">
        <v>177</v>
      </c>
      <c r="C33" s="116" t="s">
        <v>167</v>
      </c>
      <c r="D33" s="117">
        <v>45121</v>
      </c>
      <c r="E33" s="117"/>
      <c r="F33" s="118">
        <v>424130.56</v>
      </c>
      <c r="G33" s="119">
        <v>424130.56</v>
      </c>
      <c r="H33" s="119"/>
      <c r="I33" s="119"/>
      <c r="J33" s="120">
        <f t="shared" si="1"/>
        <v>0</v>
      </c>
      <c r="K33" s="121"/>
    </row>
    <row r="34" spans="1:11" ht="15.75" customHeight="1" x14ac:dyDescent="0.25">
      <c r="A34" s="116" t="s">
        <v>178</v>
      </c>
      <c r="B34" s="116" t="s">
        <v>179</v>
      </c>
      <c r="C34" s="116" t="s">
        <v>167</v>
      </c>
      <c r="D34" s="117">
        <v>45124</v>
      </c>
      <c r="E34" s="117"/>
      <c r="F34" s="118">
        <v>245414.88</v>
      </c>
      <c r="G34" s="119">
        <v>245414.88</v>
      </c>
      <c r="H34" s="119"/>
      <c r="I34" s="119"/>
      <c r="J34" s="120">
        <f t="shared" si="1"/>
        <v>0</v>
      </c>
      <c r="K34" s="121"/>
    </row>
    <row r="35" spans="1:11" ht="15.75" customHeight="1" x14ac:dyDescent="0.25">
      <c r="A35" s="116" t="s">
        <v>180</v>
      </c>
      <c r="B35" s="116" t="s">
        <v>181</v>
      </c>
      <c r="C35" s="116" t="s">
        <v>167</v>
      </c>
      <c r="D35" s="117">
        <v>45121</v>
      </c>
      <c r="E35" s="117"/>
      <c r="F35" s="118">
        <v>562947.37</v>
      </c>
      <c r="G35" s="119">
        <v>562947.37</v>
      </c>
      <c r="H35" s="119"/>
      <c r="I35" s="119"/>
      <c r="J35" s="120">
        <f t="shared" si="1"/>
        <v>0</v>
      </c>
      <c r="K35" s="121"/>
    </row>
    <row r="36" spans="1:11" ht="15.75" customHeight="1" x14ac:dyDescent="0.25">
      <c r="A36" s="116" t="s">
        <v>182</v>
      </c>
      <c r="B36" s="116" t="s">
        <v>183</v>
      </c>
      <c r="C36" s="116" t="s">
        <v>167</v>
      </c>
      <c r="D36" s="117">
        <v>45126</v>
      </c>
      <c r="E36" s="117"/>
      <c r="F36" s="118">
        <v>402610.34</v>
      </c>
      <c r="G36" s="119">
        <v>402610.34</v>
      </c>
      <c r="H36" s="119"/>
      <c r="I36" s="119"/>
      <c r="J36" s="120">
        <f t="shared" si="1"/>
        <v>0</v>
      </c>
      <c r="K36" s="121"/>
    </row>
    <row r="37" spans="1:11" ht="15.75" customHeight="1" x14ac:dyDescent="0.25">
      <c r="A37" s="116" t="s">
        <v>184</v>
      </c>
      <c r="B37" s="116" t="s">
        <v>185</v>
      </c>
      <c r="C37" s="116" t="s">
        <v>167</v>
      </c>
      <c r="D37" s="117">
        <v>45121</v>
      </c>
      <c r="E37" s="117"/>
      <c r="F37" s="118">
        <v>381910.05</v>
      </c>
      <c r="G37" s="119">
        <v>381910.05</v>
      </c>
      <c r="H37" s="119"/>
      <c r="I37" s="119"/>
      <c r="J37" s="120">
        <f t="shared" si="1"/>
        <v>0</v>
      </c>
      <c r="K37" s="121"/>
    </row>
    <row r="38" spans="1:11" ht="15.75" customHeight="1" x14ac:dyDescent="0.25">
      <c r="A38" s="116" t="s">
        <v>186</v>
      </c>
      <c r="B38" s="116" t="s">
        <v>187</v>
      </c>
      <c r="C38" s="116" t="s">
        <v>167</v>
      </c>
      <c r="D38" s="117">
        <v>45121</v>
      </c>
      <c r="E38" s="117"/>
      <c r="F38" s="118">
        <v>254998.3</v>
      </c>
      <c r="G38" s="119">
        <v>254998.3</v>
      </c>
      <c r="H38" s="119"/>
      <c r="I38" s="119"/>
      <c r="J38" s="120">
        <f t="shared" si="1"/>
        <v>0</v>
      </c>
      <c r="K38" s="121"/>
    </row>
    <row r="39" spans="1:11" ht="15.75" customHeight="1" x14ac:dyDescent="0.25">
      <c r="A39" s="116" t="s">
        <v>188</v>
      </c>
      <c r="B39" s="116" t="s">
        <v>189</v>
      </c>
      <c r="C39" s="116" t="s">
        <v>167</v>
      </c>
      <c r="D39" s="117">
        <v>45121</v>
      </c>
      <c r="E39" s="117"/>
      <c r="F39" s="118">
        <v>424443.33</v>
      </c>
      <c r="G39" s="119">
        <v>424443.33</v>
      </c>
      <c r="H39" s="119"/>
      <c r="I39" s="119"/>
      <c r="J39" s="120">
        <f t="shared" si="1"/>
        <v>0</v>
      </c>
      <c r="K39" s="121"/>
    </row>
    <row r="40" spans="1:11" ht="15.75" customHeight="1" x14ac:dyDescent="0.25">
      <c r="A40" s="116" t="s">
        <v>190</v>
      </c>
      <c r="B40" s="116" t="s">
        <v>191</v>
      </c>
      <c r="C40" s="116" t="s">
        <v>167</v>
      </c>
      <c r="D40" s="117">
        <v>45121</v>
      </c>
      <c r="E40" s="117"/>
      <c r="F40" s="118">
        <v>297509.23</v>
      </c>
      <c r="G40" s="119">
        <v>297509.23</v>
      </c>
      <c r="H40" s="119"/>
      <c r="I40" s="119"/>
      <c r="J40" s="120">
        <f t="shared" si="1"/>
        <v>0</v>
      </c>
      <c r="K40" s="121"/>
    </row>
    <row r="41" spans="1:11" ht="15.75" customHeight="1" x14ac:dyDescent="0.25">
      <c r="A41" s="116" t="s">
        <v>192</v>
      </c>
      <c r="B41" s="116" t="s">
        <v>193</v>
      </c>
      <c r="C41" s="116" t="s">
        <v>167</v>
      </c>
      <c r="D41" s="117">
        <v>45131</v>
      </c>
      <c r="E41" s="117"/>
      <c r="F41" s="118">
        <v>155907.70000000001</v>
      </c>
      <c r="G41" s="119">
        <v>155907.70000000001</v>
      </c>
      <c r="H41" s="119"/>
      <c r="I41" s="119"/>
      <c r="J41" s="120">
        <f t="shared" si="1"/>
        <v>0</v>
      </c>
      <c r="K41" s="121"/>
    </row>
    <row r="42" spans="1:11" ht="15.75" customHeight="1" x14ac:dyDescent="0.25">
      <c r="A42" s="116" t="s">
        <v>194</v>
      </c>
      <c r="B42" s="116" t="s">
        <v>195</v>
      </c>
      <c r="C42" s="116" t="s">
        <v>167</v>
      </c>
      <c r="D42" s="117">
        <v>45121</v>
      </c>
      <c r="E42" s="117"/>
      <c r="F42" s="118">
        <v>151009.69</v>
      </c>
      <c r="G42" s="119">
        <v>151009.69</v>
      </c>
      <c r="H42" s="119"/>
      <c r="I42" s="119"/>
      <c r="J42" s="120">
        <f t="shared" si="1"/>
        <v>0</v>
      </c>
      <c r="K42" s="121"/>
    </row>
    <row r="43" spans="1:11" ht="15.75" customHeight="1" x14ac:dyDescent="0.25">
      <c r="A43" s="116" t="s">
        <v>196</v>
      </c>
      <c r="B43" s="116" t="s">
        <v>197</v>
      </c>
      <c r="C43" s="116" t="s">
        <v>167</v>
      </c>
      <c r="D43" s="117">
        <v>45121</v>
      </c>
      <c r="E43" s="117"/>
      <c r="F43" s="118">
        <v>245694.37</v>
      </c>
      <c r="G43" s="119">
        <v>245694.37</v>
      </c>
      <c r="H43" s="119"/>
      <c r="I43" s="119"/>
      <c r="J43" s="120">
        <f t="shared" si="1"/>
        <v>0</v>
      </c>
      <c r="K43" s="121"/>
    </row>
    <row r="44" spans="1:11" ht="15.75" customHeight="1" x14ac:dyDescent="0.25">
      <c r="A44" s="116" t="s">
        <v>198</v>
      </c>
      <c r="B44" s="116" t="s">
        <v>199</v>
      </c>
      <c r="C44" s="116" t="s">
        <v>167</v>
      </c>
      <c r="D44" s="117">
        <v>45117</v>
      </c>
      <c r="E44" s="117"/>
      <c r="F44" s="118">
        <v>463754.95</v>
      </c>
      <c r="G44" s="119">
        <v>463754.95</v>
      </c>
      <c r="H44" s="119"/>
      <c r="I44" s="119"/>
      <c r="J44" s="120">
        <f t="shared" si="1"/>
        <v>0</v>
      </c>
      <c r="K44" s="121"/>
    </row>
    <row r="45" spans="1:11" ht="15.75" customHeight="1" x14ac:dyDescent="0.25">
      <c r="A45" s="116" t="s">
        <v>200</v>
      </c>
      <c r="B45" s="116" t="s">
        <v>201</v>
      </c>
      <c r="C45" s="116" t="s">
        <v>167</v>
      </c>
      <c r="D45" s="117">
        <v>45121</v>
      </c>
      <c r="E45" s="117"/>
      <c r="F45" s="118">
        <v>198740.61</v>
      </c>
      <c r="G45" s="119">
        <v>198740.61</v>
      </c>
      <c r="H45" s="119"/>
      <c r="I45" s="119"/>
      <c r="J45" s="120">
        <f t="shared" si="1"/>
        <v>0</v>
      </c>
      <c r="K45" s="121"/>
    </row>
    <row r="46" spans="1:11" ht="15.75" customHeight="1" x14ac:dyDescent="0.25">
      <c r="A46" s="116" t="s">
        <v>202</v>
      </c>
      <c r="B46" s="116" t="s">
        <v>203</v>
      </c>
      <c r="C46" s="116" t="s">
        <v>167</v>
      </c>
      <c r="D46" s="117">
        <v>45121</v>
      </c>
      <c r="E46" s="117"/>
      <c r="F46" s="118">
        <v>233087.98</v>
      </c>
      <c r="G46" s="119">
        <v>233087.98</v>
      </c>
      <c r="H46" s="119"/>
      <c r="I46" s="119"/>
      <c r="J46" s="120">
        <f t="shared" si="1"/>
        <v>0</v>
      </c>
      <c r="K46" s="121"/>
    </row>
    <row r="47" spans="1:11" ht="15.75" customHeight="1" x14ac:dyDescent="0.25">
      <c r="A47" s="116" t="s">
        <v>204</v>
      </c>
      <c r="B47" s="116" t="s">
        <v>205</v>
      </c>
      <c r="C47" s="116" t="s">
        <v>167</v>
      </c>
      <c r="D47" s="117">
        <v>45131</v>
      </c>
      <c r="E47" s="117"/>
      <c r="F47" s="118">
        <v>259603.81</v>
      </c>
      <c r="G47" s="119">
        <v>259603.81</v>
      </c>
      <c r="H47" s="119"/>
      <c r="I47" s="119"/>
      <c r="J47" s="120">
        <f t="shared" si="1"/>
        <v>0</v>
      </c>
      <c r="K47" s="121"/>
    </row>
    <row r="48" spans="1:11" ht="15.75" customHeight="1" x14ac:dyDescent="0.25">
      <c r="A48" s="116" t="s">
        <v>206</v>
      </c>
      <c r="B48" s="116" t="s">
        <v>207</v>
      </c>
      <c r="C48" s="116" t="s">
        <v>167</v>
      </c>
      <c r="D48" s="117">
        <v>45121</v>
      </c>
      <c r="E48" s="117"/>
      <c r="F48" s="118">
        <v>162322.79999999999</v>
      </c>
      <c r="G48" s="119">
        <v>162322.79999999999</v>
      </c>
      <c r="H48" s="119"/>
      <c r="I48" s="119"/>
      <c r="J48" s="120">
        <f t="shared" si="1"/>
        <v>0</v>
      </c>
      <c r="K48" s="121"/>
    </row>
    <row r="49" spans="1:11" ht="15.75" customHeight="1" x14ac:dyDescent="0.25">
      <c r="A49" s="116" t="s">
        <v>208</v>
      </c>
      <c r="B49" s="116" t="s">
        <v>209</v>
      </c>
      <c r="C49" s="116" t="s">
        <v>167</v>
      </c>
      <c r="D49" s="117">
        <v>45121</v>
      </c>
      <c r="E49" s="117"/>
      <c r="F49" s="118">
        <v>318920.24</v>
      </c>
      <c r="G49" s="119">
        <v>318920.24</v>
      </c>
      <c r="H49" s="119"/>
      <c r="I49" s="119"/>
      <c r="J49" s="120">
        <f t="shared" si="1"/>
        <v>0</v>
      </c>
      <c r="K49" s="121"/>
    </row>
    <row r="50" spans="1:11" ht="15.75" customHeight="1" x14ac:dyDescent="0.25">
      <c r="A50" s="116" t="s">
        <v>210</v>
      </c>
      <c r="B50" s="116" t="s">
        <v>211</v>
      </c>
      <c r="C50" s="116" t="s">
        <v>167</v>
      </c>
      <c r="D50" s="117">
        <v>45121</v>
      </c>
      <c r="E50" s="117"/>
      <c r="F50" s="118">
        <v>2000000</v>
      </c>
      <c r="G50" s="119">
        <v>2000000</v>
      </c>
      <c r="H50" s="119"/>
      <c r="I50" s="119"/>
      <c r="J50" s="120">
        <f t="shared" si="1"/>
        <v>0</v>
      </c>
      <c r="K50" s="121"/>
    </row>
    <row r="51" spans="1:11" ht="15.75" customHeight="1" x14ac:dyDescent="0.25">
      <c r="A51" s="116" t="s">
        <v>212</v>
      </c>
      <c r="B51" s="116" t="s">
        <v>213</v>
      </c>
      <c r="C51" s="116" t="s">
        <v>167</v>
      </c>
      <c r="D51" s="117">
        <v>45121</v>
      </c>
      <c r="E51" s="117"/>
      <c r="F51" s="118">
        <v>1670660.32</v>
      </c>
      <c r="G51" s="119">
        <v>1670660.32</v>
      </c>
      <c r="H51" s="119"/>
      <c r="I51" s="119"/>
      <c r="J51" s="120">
        <f t="shared" si="1"/>
        <v>0</v>
      </c>
      <c r="K51" s="121"/>
    </row>
    <row r="52" spans="1:11" ht="15.75" customHeight="1" x14ac:dyDescent="0.25">
      <c r="A52" s="116" t="s">
        <v>214</v>
      </c>
      <c r="B52" s="116" t="s">
        <v>215</v>
      </c>
      <c r="C52" s="116" t="s">
        <v>167</v>
      </c>
      <c r="D52" s="117">
        <v>45121</v>
      </c>
      <c r="E52" s="117"/>
      <c r="F52" s="118">
        <v>232543.78</v>
      </c>
      <c r="G52" s="119">
        <v>232543.78</v>
      </c>
      <c r="H52" s="119"/>
      <c r="I52" s="119"/>
      <c r="J52" s="120">
        <f t="shared" si="1"/>
        <v>0</v>
      </c>
      <c r="K52" s="121"/>
    </row>
    <row r="53" spans="1:11" ht="15.75" customHeight="1" x14ac:dyDescent="0.25">
      <c r="A53" s="116" t="s">
        <v>216</v>
      </c>
      <c r="B53" s="116" t="s">
        <v>217</v>
      </c>
      <c r="C53" s="116" t="s">
        <v>167</v>
      </c>
      <c r="D53" s="117">
        <v>45121</v>
      </c>
      <c r="E53" s="117"/>
      <c r="F53" s="118">
        <v>1693759.46</v>
      </c>
      <c r="G53" s="119">
        <v>1693759.46</v>
      </c>
      <c r="H53" s="119"/>
      <c r="I53" s="119"/>
      <c r="J53" s="120">
        <f t="shared" si="1"/>
        <v>0</v>
      </c>
      <c r="K53" s="121"/>
    </row>
    <row r="54" spans="1:11" ht="15.75" customHeight="1" x14ac:dyDescent="0.25">
      <c r="A54" s="116" t="s">
        <v>218</v>
      </c>
      <c r="B54" s="116" t="s">
        <v>219</v>
      </c>
      <c r="C54" s="116" t="s">
        <v>167</v>
      </c>
      <c r="D54" s="117">
        <v>45181</v>
      </c>
      <c r="E54" s="117"/>
      <c r="F54" s="118">
        <v>488388.5</v>
      </c>
      <c r="G54" s="119">
        <v>488388.5</v>
      </c>
      <c r="H54" s="119"/>
      <c r="I54" s="119"/>
      <c r="J54" s="120">
        <f t="shared" si="1"/>
        <v>0</v>
      </c>
      <c r="K54" s="121"/>
    </row>
    <row r="55" spans="1:11" ht="15.75" customHeight="1" x14ac:dyDescent="0.25">
      <c r="A55" s="116" t="s">
        <v>220</v>
      </c>
      <c r="B55" s="116" t="s">
        <v>221</v>
      </c>
      <c r="C55" s="116" t="s">
        <v>167</v>
      </c>
      <c r="D55" s="117">
        <v>45121</v>
      </c>
      <c r="E55" s="117"/>
      <c r="F55" s="118">
        <v>1998458.51</v>
      </c>
      <c r="G55" s="119">
        <v>1998458.51</v>
      </c>
      <c r="H55" s="119"/>
      <c r="I55" s="119"/>
      <c r="J55" s="120">
        <f t="shared" si="1"/>
        <v>0</v>
      </c>
      <c r="K55" s="121"/>
    </row>
    <row r="56" spans="1:11" ht="15.75" customHeight="1" x14ac:dyDescent="0.25">
      <c r="A56" s="116" t="s">
        <v>222</v>
      </c>
      <c r="B56" s="116" t="s">
        <v>223</v>
      </c>
      <c r="C56" s="116" t="s">
        <v>167</v>
      </c>
      <c r="D56" s="117">
        <v>45131</v>
      </c>
      <c r="E56" s="117"/>
      <c r="F56" s="118">
        <v>1116229.43</v>
      </c>
      <c r="G56" s="119">
        <v>1116229.43</v>
      </c>
      <c r="H56" s="119"/>
      <c r="I56" s="119"/>
      <c r="J56" s="120">
        <f t="shared" si="1"/>
        <v>0</v>
      </c>
      <c r="K56" s="121"/>
    </row>
    <row r="57" spans="1:11" ht="15.75" customHeight="1" x14ac:dyDescent="0.25">
      <c r="A57" s="116" t="s">
        <v>224</v>
      </c>
      <c r="B57" s="116" t="s">
        <v>225</v>
      </c>
      <c r="C57" s="116" t="s">
        <v>167</v>
      </c>
      <c r="D57" s="117">
        <v>45121</v>
      </c>
      <c r="E57" s="117"/>
      <c r="F57" s="118">
        <v>1700000.07</v>
      </c>
      <c r="G57" s="119">
        <v>1700000.07</v>
      </c>
      <c r="H57" s="119"/>
      <c r="I57" s="119"/>
      <c r="J57" s="120">
        <f t="shared" si="1"/>
        <v>0</v>
      </c>
      <c r="K57" s="121"/>
    </row>
    <row r="58" spans="1:11" ht="15.75" customHeight="1" x14ac:dyDescent="0.25">
      <c r="A58" s="116" t="s">
        <v>226</v>
      </c>
      <c r="B58" s="116" t="s">
        <v>227</v>
      </c>
      <c r="C58" s="116" t="s">
        <v>167</v>
      </c>
      <c r="D58" s="117">
        <v>45121</v>
      </c>
      <c r="E58" s="117"/>
      <c r="F58" s="118">
        <v>1809019.97</v>
      </c>
      <c r="G58" s="119">
        <v>1809019.97</v>
      </c>
      <c r="H58" s="119"/>
      <c r="I58" s="119"/>
      <c r="J58" s="120">
        <f t="shared" si="1"/>
        <v>0</v>
      </c>
      <c r="K58" s="121"/>
    </row>
    <row r="59" spans="1:11" ht="15.75" customHeight="1" x14ac:dyDescent="0.25">
      <c r="A59" s="116" t="s">
        <v>228</v>
      </c>
      <c r="B59" s="116" t="s">
        <v>229</v>
      </c>
      <c r="C59" s="116" t="s">
        <v>167</v>
      </c>
      <c r="D59" s="117">
        <v>45181</v>
      </c>
      <c r="E59" s="117"/>
      <c r="F59" s="118">
        <v>1998140.38</v>
      </c>
      <c r="G59" s="119">
        <v>1998140.38</v>
      </c>
      <c r="H59" s="119"/>
      <c r="I59" s="119"/>
      <c r="J59" s="120">
        <f t="shared" si="1"/>
        <v>0</v>
      </c>
      <c r="K59" s="121"/>
    </row>
    <row r="60" spans="1:11" ht="15.75" customHeight="1" x14ac:dyDescent="0.25">
      <c r="A60" s="116" t="s">
        <v>230</v>
      </c>
      <c r="B60" s="116" t="s">
        <v>231</v>
      </c>
      <c r="C60" s="116" t="s">
        <v>167</v>
      </c>
      <c r="D60" s="117">
        <v>45121</v>
      </c>
      <c r="E60" s="117"/>
      <c r="F60" s="118">
        <v>1526234.03</v>
      </c>
      <c r="G60" s="119">
        <v>1526234.03</v>
      </c>
      <c r="H60" s="119"/>
      <c r="I60" s="119"/>
      <c r="J60" s="120">
        <f t="shared" si="1"/>
        <v>0</v>
      </c>
      <c r="K60" s="121"/>
    </row>
    <row r="61" spans="1:11" ht="15.75" customHeight="1" x14ac:dyDescent="0.25">
      <c r="A61" s="116" t="s">
        <v>232</v>
      </c>
      <c r="B61" s="116" t="s">
        <v>233</v>
      </c>
      <c r="C61" s="116" t="s">
        <v>167</v>
      </c>
      <c r="D61" s="117">
        <v>45135</v>
      </c>
      <c r="E61" s="117"/>
      <c r="F61" s="118">
        <v>299722.84000000003</v>
      </c>
      <c r="G61" s="119">
        <v>299722.84000000003</v>
      </c>
      <c r="H61" s="119"/>
      <c r="I61" s="119"/>
      <c r="J61" s="120">
        <f t="shared" si="1"/>
        <v>0</v>
      </c>
      <c r="K61" s="121"/>
    </row>
    <row r="62" spans="1:11" ht="15.75" customHeight="1" x14ac:dyDescent="0.25">
      <c r="A62" s="12" t="s">
        <v>234</v>
      </c>
      <c r="B62" s="13" t="s">
        <v>235</v>
      </c>
      <c r="C62" s="13" t="s">
        <v>125</v>
      </c>
      <c r="D62" s="96">
        <v>45247</v>
      </c>
      <c r="E62" s="96"/>
      <c r="F62" s="107">
        <v>248795.64</v>
      </c>
      <c r="G62" s="100">
        <v>248795.64</v>
      </c>
      <c r="H62" s="100"/>
      <c r="I62" s="100"/>
      <c r="J62" s="106"/>
      <c r="K62" s="103">
        <f>G62</f>
        <v>248795.64</v>
      </c>
    </row>
    <row r="63" spans="1:11" ht="15.75" customHeight="1" x14ac:dyDescent="0.25">
      <c r="A63" s="12" t="s">
        <v>236</v>
      </c>
      <c r="B63" s="13" t="s">
        <v>237</v>
      </c>
      <c r="C63" s="13" t="s">
        <v>125</v>
      </c>
      <c r="D63" s="96">
        <v>45190</v>
      </c>
      <c r="E63" s="96"/>
      <c r="F63" s="107">
        <v>608374.5</v>
      </c>
      <c r="G63" s="100">
        <v>608374.5</v>
      </c>
      <c r="H63" s="100"/>
      <c r="I63" s="100"/>
      <c r="J63" s="106"/>
      <c r="K63" s="103">
        <f t="shared" ref="K63:K95" si="2">G63</f>
        <v>608374.5</v>
      </c>
    </row>
    <row r="64" spans="1:11" ht="15.75" customHeight="1" x14ac:dyDescent="0.25">
      <c r="A64" s="12" t="s">
        <v>238</v>
      </c>
      <c r="B64" s="13" t="s">
        <v>239</v>
      </c>
      <c r="C64" s="13" t="s">
        <v>125</v>
      </c>
      <c r="D64" s="96">
        <v>45225</v>
      </c>
      <c r="E64" s="96"/>
      <c r="F64" s="107">
        <v>164050.82999999999</v>
      </c>
      <c r="G64" s="100">
        <v>164050.82999999999</v>
      </c>
      <c r="H64" s="100"/>
      <c r="I64" s="100"/>
      <c r="J64" s="106"/>
      <c r="K64" s="103">
        <f t="shared" si="2"/>
        <v>164050.82999999999</v>
      </c>
    </row>
    <row r="65" spans="1:11" ht="15.75" customHeight="1" x14ac:dyDescent="0.25">
      <c r="A65" s="12" t="s">
        <v>240</v>
      </c>
      <c r="B65" s="13" t="s">
        <v>241</v>
      </c>
      <c r="C65" s="13" t="s">
        <v>125</v>
      </c>
      <c r="D65" s="96">
        <v>45183</v>
      </c>
      <c r="E65" s="96"/>
      <c r="F65" s="107">
        <v>296640.25</v>
      </c>
      <c r="G65" s="100">
        <v>296640.25</v>
      </c>
      <c r="H65" s="100"/>
      <c r="I65" s="100"/>
      <c r="J65" s="106"/>
      <c r="K65" s="103">
        <f t="shared" si="2"/>
        <v>296640.25</v>
      </c>
    </row>
    <row r="66" spans="1:11" ht="15.75" customHeight="1" x14ac:dyDescent="0.25">
      <c r="A66" s="12" t="s">
        <v>242</v>
      </c>
      <c r="B66" s="13" t="s">
        <v>243</v>
      </c>
      <c r="C66" s="13" t="s">
        <v>125</v>
      </c>
      <c r="D66" s="96">
        <v>45204</v>
      </c>
      <c r="E66" s="96"/>
      <c r="F66" s="107">
        <v>180582.72</v>
      </c>
      <c r="G66" s="100">
        <v>180582.72</v>
      </c>
      <c r="H66" s="100"/>
      <c r="I66" s="100"/>
      <c r="J66" s="106"/>
      <c r="K66" s="103">
        <f t="shared" si="2"/>
        <v>180582.72</v>
      </c>
    </row>
    <row r="67" spans="1:11" ht="15.75" customHeight="1" x14ac:dyDescent="0.25">
      <c r="A67" s="12" t="s">
        <v>244</v>
      </c>
      <c r="B67" s="13" t="s">
        <v>245</v>
      </c>
      <c r="C67" s="13" t="s">
        <v>125</v>
      </c>
      <c r="D67" s="96">
        <v>45280</v>
      </c>
      <c r="E67" s="96"/>
      <c r="F67" s="107">
        <v>614176.06999999995</v>
      </c>
      <c r="G67" s="100">
        <v>614176.06999999995</v>
      </c>
      <c r="H67" s="100"/>
      <c r="I67" s="100"/>
      <c r="J67" s="106"/>
      <c r="K67" s="103">
        <f t="shared" si="2"/>
        <v>614176.06999999995</v>
      </c>
    </row>
    <row r="68" spans="1:11" ht="15.75" customHeight="1" x14ac:dyDescent="0.25">
      <c r="A68" s="12" t="s">
        <v>246</v>
      </c>
      <c r="B68" s="13" t="s">
        <v>247</v>
      </c>
      <c r="C68" s="13" t="s">
        <v>125</v>
      </c>
      <c r="D68" s="96">
        <v>45229</v>
      </c>
      <c r="E68" s="96"/>
      <c r="F68" s="107">
        <v>401054.08</v>
      </c>
      <c r="G68" s="100">
        <v>401054.08</v>
      </c>
      <c r="H68" s="100"/>
      <c r="I68" s="100"/>
      <c r="J68" s="106"/>
      <c r="K68" s="103">
        <f t="shared" si="2"/>
        <v>401054.08</v>
      </c>
    </row>
    <row r="69" spans="1:11" ht="15.75" customHeight="1" x14ac:dyDescent="0.25">
      <c r="A69" s="12" t="s">
        <v>248</v>
      </c>
      <c r="B69" s="13" t="s">
        <v>249</v>
      </c>
      <c r="C69" s="13" t="s">
        <v>125</v>
      </c>
      <c r="D69" s="96">
        <v>45183</v>
      </c>
      <c r="E69" s="96"/>
      <c r="F69" s="107">
        <v>229555.58</v>
      </c>
      <c r="G69" s="100">
        <v>229555.58</v>
      </c>
      <c r="H69" s="100"/>
      <c r="I69" s="100"/>
      <c r="J69" s="106"/>
      <c r="K69" s="103">
        <f t="shared" si="2"/>
        <v>229555.58</v>
      </c>
    </row>
    <row r="70" spans="1:11" ht="15.75" customHeight="1" x14ac:dyDescent="0.25">
      <c r="A70" s="12" t="s">
        <v>250</v>
      </c>
      <c r="B70" s="13" t="s">
        <v>251</v>
      </c>
      <c r="C70" s="13" t="s">
        <v>125</v>
      </c>
      <c r="D70" s="96">
        <v>45274</v>
      </c>
      <c r="E70" s="96"/>
      <c r="F70" s="107">
        <v>183930.59</v>
      </c>
      <c r="G70" s="100">
        <v>183930.59</v>
      </c>
      <c r="H70" s="100"/>
      <c r="I70" s="100"/>
      <c r="J70" s="106"/>
      <c r="K70" s="103">
        <f t="shared" si="2"/>
        <v>183930.59</v>
      </c>
    </row>
    <row r="71" spans="1:11" ht="15.75" customHeight="1" x14ac:dyDescent="0.25">
      <c r="A71" s="12" t="s">
        <v>252</v>
      </c>
      <c r="B71" s="13" t="s">
        <v>253</v>
      </c>
      <c r="C71" s="13" t="s">
        <v>125</v>
      </c>
      <c r="D71" s="96">
        <v>45225</v>
      </c>
      <c r="E71" s="96"/>
      <c r="F71" s="107">
        <v>238109.99</v>
      </c>
      <c r="G71" s="100">
        <v>238109.99</v>
      </c>
      <c r="H71" s="100"/>
      <c r="I71" s="100"/>
      <c r="J71" s="106"/>
      <c r="K71" s="103">
        <f t="shared" si="2"/>
        <v>238109.99</v>
      </c>
    </row>
    <row r="72" spans="1:11" ht="15.75" customHeight="1" x14ac:dyDescent="0.25">
      <c r="A72" s="12" t="s">
        <v>254</v>
      </c>
      <c r="B72" s="13" t="s">
        <v>255</v>
      </c>
      <c r="C72" s="13" t="s">
        <v>125</v>
      </c>
      <c r="D72" s="96">
        <v>45238</v>
      </c>
      <c r="E72" s="96"/>
      <c r="F72" s="107">
        <v>230207.45</v>
      </c>
      <c r="G72" s="100">
        <v>230207.45</v>
      </c>
      <c r="H72" s="100"/>
      <c r="I72" s="100"/>
      <c r="J72" s="106"/>
      <c r="K72" s="103">
        <f t="shared" si="2"/>
        <v>230207.45</v>
      </c>
    </row>
    <row r="73" spans="1:11" ht="15.75" customHeight="1" x14ac:dyDescent="0.25">
      <c r="A73" s="12" t="s">
        <v>256</v>
      </c>
      <c r="B73" s="13" t="s">
        <v>257</v>
      </c>
      <c r="C73" s="13" t="s">
        <v>125</v>
      </c>
      <c r="D73" s="96">
        <v>45247</v>
      </c>
      <c r="E73" s="96"/>
      <c r="F73" s="107">
        <v>234972.52</v>
      </c>
      <c r="G73" s="100">
        <v>234972.52</v>
      </c>
      <c r="H73" s="100"/>
      <c r="I73" s="100"/>
      <c r="J73" s="106"/>
      <c r="K73" s="103">
        <f t="shared" si="2"/>
        <v>234972.52</v>
      </c>
    </row>
    <row r="74" spans="1:11" ht="15.75" customHeight="1" x14ac:dyDescent="0.25">
      <c r="A74" s="12" t="s">
        <v>258</v>
      </c>
      <c r="B74" s="13" t="s">
        <v>259</v>
      </c>
      <c r="C74" s="13" t="s">
        <v>125</v>
      </c>
      <c r="D74" s="96">
        <v>45229</v>
      </c>
      <c r="E74" s="96"/>
      <c r="F74" s="107">
        <v>401054.08</v>
      </c>
      <c r="G74" s="100">
        <v>401054.08</v>
      </c>
      <c r="H74" s="100"/>
      <c r="I74" s="100"/>
      <c r="J74" s="106"/>
      <c r="K74" s="103">
        <f t="shared" si="2"/>
        <v>401054.08</v>
      </c>
    </row>
    <row r="75" spans="1:11" ht="15.75" customHeight="1" x14ac:dyDescent="0.25">
      <c r="A75" s="12" t="s">
        <v>260</v>
      </c>
      <c r="B75" s="13" t="s">
        <v>261</v>
      </c>
      <c r="C75" s="13" t="s">
        <v>125</v>
      </c>
      <c r="D75" s="96">
        <v>45236</v>
      </c>
      <c r="E75" s="96"/>
      <c r="F75" s="107">
        <v>471769.89</v>
      </c>
      <c r="G75" s="100">
        <v>471769.89</v>
      </c>
      <c r="H75" s="100"/>
      <c r="I75" s="100"/>
      <c r="J75" s="106"/>
      <c r="K75" s="103">
        <f t="shared" si="2"/>
        <v>471769.89</v>
      </c>
    </row>
    <row r="76" spans="1:11" ht="15.75" customHeight="1" x14ac:dyDescent="0.25">
      <c r="A76" s="12" t="s">
        <v>262</v>
      </c>
      <c r="B76" s="13" t="s">
        <v>263</v>
      </c>
      <c r="C76" s="13" t="s">
        <v>125</v>
      </c>
      <c r="D76" s="96">
        <v>45209</v>
      </c>
      <c r="E76" s="96"/>
      <c r="F76" s="107">
        <v>720270.18</v>
      </c>
      <c r="G76" s="100">
        <v>720270.18</v>
      </c>
      <c r="H76" s="100"/>
      <c r="I76" s="100"/>
      <c r="J76" s="106"/>
      <c r="K76" s="103">
        <f t="shared" si="2"/>
        <v>720270.18</v>
      </c>
    </row>
    <row r="77" spans="1:11" ht="15.75" customHeight="1" x14ac:dyDescent="0.25">
      <c r="A77" s="12" t="s">
        <v>264</v>
      </c>
      <c r="B77" s="13" t="s">
        <v>265</v>
      </c>
      <c r="C77" s="13" t="s">
        <v>125</v>
      </c>
      <c r="D77" s="96">
        <v>45204</v>
      </c>
      <c r="E77" s="96"/>
      <c r="F77" s="107">
        <v>173133.24</v>
      </c>
      <c r="G77" s="100">
        <v>173133.24</v>
      </c>
      <c r="H77" s="100"/>
      <c r="I77" s="100"/>
      <c r="J77" s="106"/>
      <c r="K77" s="103">
        <f t="shared" si="2"/>
        <v>173133.24</v>
      </c>
    </row>
    <row r="78" spans="1:11" ht="15.75" customHeight="1" x14ac:dyDescent="0.25">
      <c r="A78" s="12" t="s">
        <v>266</v>
      </c>
      <c r="B78" s="13" t="s">
        <v>267</v>
      </c>
      <c r="C78" s="13" t="s">
        <v>125</v>
      </c>
      <c r="D78" s="96">
        <v>45247</v>
      </c>
      <c r="E78" s="96"/>
      <c r="F78" s="107">
        <v>524584.99</v>
      </c>
      <c r="G78" s="100">
        <v>524584.99</v>
      </c>
      <c r="H78" s="100"/>
      <c r="I78" s="100"/>
      <c r="J78" s="106"/>
      <c r="K78" s="103">
        <f t="shared" si="2"/>
        <v>524584.99</v>
      </c>
    </row>
    <row r="79" spans="1:11" ht="15.75" customHeight="1" x14ac:dyDescent="0.25">
      <c r="A79" s="12" t="s">
        <v>268</v>
      </c>
      <c r="B79" s="13" t="s">
        <v>269</v>
      </c>
      <c r="C79" s="13" t="s">
        <v>125</v>
      </c>
      <c r="D79" s="96">
        <v>45195</v>
      </c>
      <c r="E79" s="96"/>
      <c r="F79" s="107">
        <v>584003.25</v>
      </c>
      <c r="G79" s="100">
        <v>584003.25</v>
      </c>
      <c r="H79" s="100"/>
      <c r="I79" s="100"/>
      <c r="J79" s="106"/>
      <c r="K79" s="103">
        <f t="shared" si="2"/>
        <v>584003.25</v>
      </c>
    </row>
    <row r="80" spans="1:11" ht="15.75" customHeight="1" x14ac:dyDescent="0.25">
      <c r="A80" s="12" t="s">
        <v>270</v>
      </c>
      <c r="B80" s="13" t="s">
        <v>271</v>
      </c>
      <c r="C80" s="13" t="s">
        <v>125</v>
      </c>
      <c r="D80" s="96">
        <v>45195</v>
      </c>
      <c r="E80" s="96"/>
      <c r="F80" s="107">
        <v>506920.14</v>
      </c>
      <c r="G80" s="100">
        <v>506920.14</v>
      </c>
      <c r="H80" s="100"/>
      <c r="I80" s="100"/>
      <c r="J80" s="106"/>
      <c r="K80" s="103">
        <f t="shared" si="2"/>
        <v>506920.14</v>
      </c>
    </row>
    <row r="81" spans="1:11" ht="15.75" customHeight="1" x14ac:dyDescent="0.25">
      <c r="A81" s="12" t="s">
        <v>272</v>
      </c>
      <c r="B81" s="13" t="s">
        <v>273</v>
      </c>
      <c r="C81" s="13" t="s">
        <v>125</v>
      </c>
      <c r="D81" s="96">
        <v>45247</v>
      </c>
      <c r="E81" s="96"/>
      <c r="F81" s="107">
        <v>402884.26</v>
      </c>
      <c r="G81" s="100">
        <v>402884.26</v>
      </c>
      <c r="H81" s="100"/>
      <c r="I81" s="100"/>
      <c r="J81" s="106"/>
      <c r="K81" s="103">
        <f t="shared" si="2"/>
        <v>402884.26</v>
      </c>
    </row>
    <row r="82" spans="1:11" ht="15.75" customHeight="1" x14ac:dyDescent="0.25">
      <c r="A82" s="12" t="s">
        <v>274</v>
      </c>
      <c r="B82" s="13" t="s">
        <v>275</v>
      </c>
      <c r="C82" s="13" t="s">
        <v>125</v>
      </c>
      <c r="D82" s="96">
        <v>45230</v>
      </c>
      <c r="E82" s="96"/>
      <c r="F82" s="107">
        <v>406638.76</v>
      </c>
      <c r="G82" s="100">
        <v>406638.76</v>
      </c>
      <c r="H82" s="100"/>
      <c r="I82" s="100"/>
      <c r="J82" s="106"/>
      <c r="K82" s="103">
        <f t="shared" si="2"/>
        <v>406638.76</v>
      </c>
    </row>
    <row r="83" spans="1:11" ht="15.75" customHeight="1" x14ac:dyDescent="0.25">
      <c r="A83" s="12" t="s">
        <v>276</v>
      </c>
      <c r="B83" s="13" t="s">
        <v>277</v>
      </c>
      <c r="C83" s="13" t="s">
        <v>125</v>
      </c>
      <c r="D83" s="96">
        <v>45183</v>
      </c>
      <c r="E83" s="96"/>
      <c r="F83" s="107">
        <v>278874.68</v>
      </c>
      <c r="G83" s="100">
        <v>278874.68</v>
      </c>
      <c r="H83" s="100"/>
      <c r="I83" s="100"/>
      <c r="J83" s="106"/>
      <c r="K83" s="103">
        <f t="shared" si="2"/>
        <v>278874.68</v>
      </c>
    </row>
    <row r="84" spans="1:11" ht="15.75" customHeight="1" x14ac:dyDescent="0.25">
      <c r="A84" s="12" t="s">
        <v>278</v>
      </c>
      <c r="B84" s="13" t="s">
        <v>279</v>
      </c>
      <c r="C84" s="13" t="s">
        <v>125</v>
      </c>
      <c r="D84" s="96">
        <v>45225</v>
      </c>
      <c r="E84" s="96"/>
      <c r="F84" s="107">
        <v>160194.17000000001</v>
      </c>
      <c r="G84" s="100">
        <v>160194.17000000001</v>
      </c>
      <c r="H84" s="100"/>
      <c r="I84" s="100"/>
      <c r="J84" s="106"/>
      <c r="K84" s="103">
        <f t="shared" si="2"/>
        <v>160194.17000000001</v>
      </c>
    </row>
    <row r="85" spans="1:11" ht="15.75" customHeight="1" x14ac:dyDescent="0.25">
      <c r="A85" s="12" t="s">
        <v>280</v>
      </c>
      <c r="B85" s="13" t="s">
        <v>281</v>
      </c>
      <c r="C85" s="13" t="s">
        <v>125</v>
      </c>
      <c r="D85" s="96">
        <v>45204</v>
      </c>
      <c r="E85" s="96"/>
      <c r="F85" s="107">
        <v>481373.95</v>
      </c>
      <c r="G85" s="100">
        <v>481373.95</v>
      </c>
      <c r="H85" s="100"/>
      <c r="I85" s="100"/>
      <c r="J85" s="106"/>
      <c r="K85" s="103">
        <f t="shared" si="2"/>
        <v>481373.95</v>
      </c>
    </row>
    <row r="86" spans="1:11" ht="15.75" customHeight="1" x14ac:dyDescent="0.25">
      <c r="A86" s="12" t="s">
        <v>282</v>
      </c>
      <c r="B86" s="13" t="s">
        <v>283</v>
      </c>
      <c r="C86" s="13" t="s">
        <v>125</v>
      </c>
      <c r="D86" s="96">
        <v>45204</v>
      </c>
      <c r="E86" s="96"/>
      <c r="F86" s="107">
        <v>262474.31</v>
      </c>
      <c r="G86" s="100">
        <v>262474.31</v>
      </c>
      <c r="H86" s="100"/>
      <c r="I86" s="100"/>
      <c r="J86" s="106"/>
      <c r="K86" s="103">
        <f t="shared" si="2"/>
        <v>262474.31</v>
      </c>
    </row>
    <row r="87" spans="1:11" ht="15.75" customHeight="1" x14ac:dyDescent="0.25">
      <c r="A87" s="12" t="s">
        <v>284</v>
      </c>
      <c r="B87" s="13" t="s">
        <v>285</v>
      </c>
      <c r="C87" s="13" t="s">
        <v>125</v>
      </c>
      <c r="D87" s="96">
        <v>45204</v>
      </c>
      <c r="E87" s="96"/>
      <c r="F87" s="107">
        <v>675752.46</v>
      </c>
      <c r="G87" s="100">
        <v>675752.46</v>
      </c>
      <c r="H87" s="100"/>
      <c r="I87" s="100"/>
      <c r="J87" s="106"/>
      <c r="K87" s="103">
        <f t="shared" si="2"/>
        <v>675752.46</v>
      </c>
    </row>
    <row r="88" spans="1:11" ht="15.75" customHeight="1" x14ac:dyDescent="0.25">
      <c r="A88" s="12" t="s">
        <v>286</v>
      </c>
      <c r="B88" s="13" t="s">
        <v>287</v>
      </c>
      <c r="C88" s="13" t="s">
        <v>125</v>
      </c>
      <c r="D88" s="96">
        <v>45209</v>
      </c>
      <c r="E88" s="96"/>
      <c r="F88" s="107">
        <v>1308935.23</v>
      </c>
      <c r="G88" s="100">
        <v>1308935.23</v>
      </c>
      <c r="H88" s="100"/>
      <c r="I88" s="100"/>
      <c r="J88" s="106"/>
      <c r="K88" s="103">
        <f t="shared" si="2"/>
        <v>1308935.23</v>
      </c>
    </row>
    <row r="89" spans="1:11" ht="15.75" customHeight="1" x14ac:dyDescent="0.25">
      <c r="A89" s="12" t="s">
        <v>288</v>
      </c>
      <c r="B89" s="13" t="s">
        <v>289</v>
      </c>
      <c r="C89" s="13" t="s">
        <v>125</v>
      </c>
      <c r="D89" s="96">
        <v>45225</v>
      </c>
      <c r="E89" s="96"/>
      <c r="F89" s="107">
        <v>1922449.52</v>
      </c>
      <c r="G89" s="100">
        <v>1922449.52</v>
      </c>
      <c r="H89" s="100"/>
      <c r="I89" s="100"/>
      <c r="J89" s="106"/>
      <c r="K89" s="103">
        <f t="shared" si="2"/>
        <v>1922449.52</v>
      </c>
    </row>
    <row r="90" spans="1:11" ht="15.75" customHeight="1" x14ac:dyDescent="0.25">
      <c r="A90" s="12" t="s">
        <v>290</v>
      </c>
      <c r="B90" s="13" t="s">
        <v>291</v>
      </c>
      <c r="C90" s="13" t="s">
        <v>125</v>
      </c>
      <c r="D90" s="96">
        <v>45209</v>
      </c>
      <c r="E90" s="96"/>
      <c r="F90" s="107">
        <v>1700342.8</v>
      </c>
      <c r="G90" s="100">
        <v>1700342.8</v>
      </c>
      <c r="H90" s="100"/>
      <c r="I90" s="100"/>
      <c r="J90" s="106"/>
      <c r="K90" s="103">
        <f t="shared" si="2"/>
        <v>1700342.8</v>
      </c>
    </row>
    <row r="91" spans="1:11" ht="15.75" customHeight="1" x14ac:dyDescent="0.25">
      <c r="A91" s="12" t="s">
        <v>292</v>
      </c>
      <c r="B91" s="13" t="s">
        <v>293</v>
      </c>
      <c r="C91" s="13" t="s">
        <v>125</v>
      </c>
      <c r="D91" s="96">
        <v>45204</v>
      </c>
      <c r="E91" s="96"/>
      <c r="F91" s="107">
        <v>1559691.79</v>
      </c>
      <c r="G91" s="100">
        <v>1559691.79</v>
      </c>
      <c r="H91" s="100"/>
      <c r="I91" s="100"/>
      <c r="J91" s="106"/>
      <c r="K91" s="103">
        <f t="shared" si="2"/>
        <v>1559691.79</v>
      </c>
    </row>
    <row r="92" spans="1:11" ht="15.75" customHeight="1" x14ac:dyDescent="0.25">
      <c r="A92" s="12" t="s">
        <v>294</v>
      </c>
      <c r="B92" s="13" t="s">
        <v>295</v>
      </c>
      <c r="C92" s="13" t="s">
        <v>125</v>
      </c>
      <c r="D92" s="96">
        <v>45204</v>
      </c>
      <c r="E92" s="96"/>
      <c r="F92" s="107">
        <v>1883993.16</v>
      </c>
      <c r="G92" s="100">
        <v>1883993.16</v>
      </c>
      <c r="H92" s="100"/>
      <c r="I92" s="100"/>
      <c r="J92" s="106"/>
      <c r="K92" s="103">
        <f t="shared" si="2"/>
        <v>1883993.16</v>
      </c>
    </row>
    <row r="93" spans="1:11" ht="15.75" customHeight="1" x14ac:dyDescent="0.25">
      <c r="A93" s="12" t="s">
        <v>296</v>
      </c>
      <c r="B93" s="13" t="s">
        <v>297</v>
      </c>
      <c r="C93" s="13" t="s">
        <v>125</v>
      </c>
      <c r="D93" s="96">
        <v>45183</v>
      </c>
      <c r="E93" s="96"/>
      <c r="F93" s="107">
        <v>1997935.27</v>
      </c>
      <c r="G93" s="100">
        <v>1997935.27</v>
      </c>
      <c r="H93" s="100"/>
      <c r="I93" s="100"/>
      <c r="J93" s="106"/>
      <c r="K93" s="103">
        <f t="shared" si="2"/>
        <v>1997935.27</v>
      </c>
    </row>
    <row r="94" spans="1:11" ht="15.75" customHeight="1" x14ac:dyDescent="0.25">
      <c r="A94" s="12" t="s">
        <v>298</v>
      </c>
      <c r="B94" s="13" t="s">
        <v>299</v>
      </c>
      <c r="C94" s="13" t="s">
        <v>125</v>
      </c>
      <c r="D94" s="96">
        <v>45266</v>
      </c>
      <c r="E94" s="96"/>
      <c r="F94" s="107">
        <v>203825.1</v>
      </c>
      <c r="G94" s="100">
        <v>203825.1</v>
      </c>
      <c r="H94" s="100"/>
      <c r="I94" s="100"/>
      <c r="J94" s="106"/>
      <c r="K94" s="103">
        <f t="shared" si="2"/>
        <v>203825.1</v>
      </c>
    </row>
    <row r="95" spans="1:11" ht="15.75" customHeight="1" x14ac:dyDescent="0.25">
      <c r="A95" s="12" t="s">
        <v>300</v>
      </c>
      <c r="B95" s="13" t="s">
        <v>301</v>
      </c>
      <c r="C95" s="13" t="s">
        <v>125</v>
      </c>
      <c r="D95" s="96">
        <v>45271</v>
      </c>
      <c r="E95" s="96"/>
      <c r="F95" s="107">
        <v>193548.31</v>
      </c>
      <c r="G95" s="100">
        <v>193548.31</v>
      </c>
      <c r="H95" s="100"/>
      <c r="I95" s="100"/>
      <c r="J95" s="106"/>
      <c r="K95" s="103">
        <f t="shared" si="2"/>
        <v>193548.31</v>
      </c>
    </row>
    <row r="96" spans="1:11" ht="15.75" customHeight="1" x14ac:dyDescent="0.25">
      <c r="A96" s="12" t="s">
        <v>302</v>
      </c>
      <c r="B96" s="13" t="s">
        <v>303</v>
      </c>
      <c r="C96" s="13" t="s">
        <v>167</v>
      </c>
      <c r="D96" s="153"/>
      <c r="E96" s="96"/>
      <c r="F96" s="107">
        <v>815317.37</v>
      </c>
      <c r="G96" s="100">
        <v>815317.37</v>
      </c>
      <c r="H96" s="100"/>
      <c r="I96" s="100"/>
      <c r="J96" s="106"/>
      <c r="K96" s="103">
        <f>F96</f>
        <v>815317.37</v>
      </c>
    </row>
    <row r="97" spans="1:11" ht="15.75" customHeight="1" x14ac:dyDescent="0.25">
      <c r="A97" s="12" t="s">
        <v>304</v>
      </c>
      <c r="B97" s="13"/>
      <c r="C97" s="13" t="s">
        <v>121</v>
      </c>
      <c r="D97" s="96"/>
      <c r="E97" s="96"/>
      <c r="F97" s="107">
        <v>271037.08</v>
      </c>
      <c r="G97" s="100"/>
      <c r="H97" s="100"/>
      <c r="I97" s="100"/>
      <c r="J97" s="106"/>
      <c r="K97" s="103">
        <f t="shared" ref="K97:K99" si="3">F97</f>
        <v>271037.08</v>
      </c>
    </row>
    <row r="98" spans="1:11" ht="15.75" customHeight="1" x14ac:dyDescent="0.25">
      <c r="A98" s="12" t="s">
        <v>305</v>
      </c>
      <c r="B98" s="13" t="s">
        <v>306</v>
      </c>
      <c r="C98" s="13" t="s">
        <v>167</v>
      </c>
      <c r="D98" s="153"/>
      <c r="E98" s="96"/>
      <c r="F98" s="107">
        <v>1694304.13</v>
      </c>
      <c r="G98" s="100">
        <v>1694304.13</v>
      </c>
      <c r="H98" s="100"/>
      <c r="I98" s="100"/>
      <c r="J98" s="106"/>
      <c r="K98" s="103">
        <f t="shared" si="3"/>
        <v>1694304.13</v>
      </c>
    </row>
    <row r="99" spans="1:11" ht="15.75" customHeight="1" x14ac:dyDescent="0.25">
      <c r="A99" s="12" t="s">
        <v>307</v>
      </c>
      <c r="B99" s="13"/>
      <c r="C99" s="13" t="s">
        <v>121</v>
      </c>
      <c r="D99" s="96"/>
      <c r="E99" s="96"/>
      <c r="F99" s="107">
        <v>2000000</v>
      </c>
      <c r="G99" s="100">
        <v>2000000</v>
      </c>
      <c r="H99" s="100"/>
      <c r="I99" s="100"/>
      <c r="J99" s="106"/>
      <c r="K99" s="103">
        <f t="shared" si="3"/>
        <v>2000000</v>
      </c>
    </row>
    <row r="100" spans="1:11" x14ac:dyDescent="0.25">
      <c r="A100" s="172" t="s">
        <v>308</v>
      </c>
      <c r="B100" s="173"/>
      <c r="C100" s="173"/>
      <c r="D100" s="173"/>
      <c r="E100" s="173"/>
      <c r="F100" s="173"/>
      <c r="G100" s="173"/>
      <c r="H100" s="173"/>
      <c r="I100" s="173"/>
      <c r="J100" s="90">
        <f>SUM(J16:J99)</f>
        <v>6445494.46</v>
      </c>
      <c r="K100" s="90">
        <f>SUM(K16:K99)</f>
        <v>25231758.339999996</v>
      </c>
    </row>
    <row r="101" spans="1:11" ht="15.75" customHeight="1" thickBot="1" x14ac:dyDescent="0.3">
      <c r="A101" s="174"/>
      <c r="B101" s="175"/>
      <c r="C101" s="175"/>
      <c r="D101" s="175"/>
      <c r="E101" s="175"/>
      <c r="F101" s="175"/>
      <c r="G101" s="175"/>
      <c r="H101" s="175"/>
      <c r="I101" s="175"/>
      <c r="J101" s="164">
        <f>J100-K100</f>
        <v>-18786263.879999995</v>
      </c>
      <c r="K101" s="165"/>
    </row>
  </sheetData>
  <mergeCells count="24">
    <mergeCell ref="F10:G10"/>
    <mergeCell ref="F7:G7"/>
    <mergeCell ref="F8:G8"/>
    <mergeCell ref="A1:K1"/>
    <mergeCell ref="A2:K2"/>
    <mergeCell ref="A3:K3"/>
    <mergeCell ref="B6:E6"/>
    <mergeCell ref="F6:G6"/>
    <mergeCell ref="J101:K101"/>
    <mergeCell ref="A5:K5"/>
    <mergeCell ref="H6:J6"/>
    <mergeCell ref="H7:J7"/>
    <mergeCell ref="H8:J8"/>
    <mergeCell ref="H9:J9"/>
    <mergeCell ref="H10:J10"/>
    <mergeCell ref="H11:J11"/>
    <mergeCell ref="A100:I101"/>
    <mergeCell ref="B11:E11"/>
    <mergeCell ref="F11:G11"/>
    <mergeCell ref="B7:E7"/>
    <mergeCell ref="B8:E8"/>
    <mergeCell ref="B9:E9"/>
    <mergeCell ref="B10:E10"/>
    <mergeCell ref="F9:G9"/>
  </mergeCells>
  <pageMargins left="0.62992125984251968" right="0.39370078740157483" top="0.70866141732283472" bottom="0.19685039370078741" header="0.47244094488188981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28CC9628AE7E4D9780EBCDDA4CCE5D" ma:contentTypeVersion="19" ma:contentTypeDescription="Crie um novo documento." ma:contentTypeScope="" ma:versionID="e232882d5dfe7930d9f7bf70537fa7e0">
  <xsd:schema xmlns:xsd="http://www.w3.org/2001/XMLSchema" xmlns:xs="http://www.w3.org/2001/XMLSchema" xmlns:p="http://schemas.microsoft.com/office/2006/metadata/properties" xmlns:ns2="9813519b-3cb6-4eb7-b374-2759e8f8a1ef" xmlns:ns3="78cec8e6-2dd2-454d-b20c-951d9c576460" targetNamespace="http://schemas.microsoft.com/office/2006/metadata/properties" ma:root="true" ma:fieldsID="ff8b7bd35cb6ca5fcc0535326358fcc5" ns2:_="" ns3:_="">
    <xsd:import namespace="9813519b-3cb6-4eb7-b374-2759e8f8a1ef"/>
    <xsd:import namespace="78cec8e6-2dd2-454d-b20c-951d9c5764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3519b-3cb6-4eb7-b374-2759e8f8a1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fa0f57-cac1-42a5-9a3a-de542e2b22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tatus de liberação" ma:internalName="Status_x0020_de_x0020_libera_x00e7__x00e3_o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cec8e6-2dd2-454d-b20c-951d9c57646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cd48e4-e3fb-4b0e-9fcc-3067b4f8d6bd}" ma:internalName="TaxCatchAll" ma:showField="CatchAllData" ma:web="78cec8e6-2dd2-454d-b20c-951d9c5764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13519b-3cb6-4eb7-b374-2759e8f8a1ef">
      <Terms xmlns="http://schemas.microsoft.com/office/infopath/2007/PartnerControls"/>
    </lcf76f155ced4ddcb4097134ff3c332f>
    <TaxCatchAll xmlns="78cec8e6-2dd2-454d-b20c-951d9c576460" xsi:nil="true"/>
    <_Flow_SignoffStatus xmlns="9813519b-3cb6-4eb7-b374-2759e8f8a1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CB360F-E696-4661-931B-CCFA68656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3519b-3cb6-4eb7-b374-2759e8f8a1ef"/>
    <ds:schemaRef ds:uri="78cec8e6-2dd2-454d-b20c-951d9c5764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F18BF9-9B2D-4F94-9423-A1061893F041}">
  <ds:schemaRefs>
    <ds:schemaRef ds:uri="http://purl.org/dc/elements/1.1/"/>
    <ds:schemaRef ds:uri="9813519b-3cb6-4eb7-b374-2759e8f8a1ef"/>
    <ds:schemaRef ds:uri="http://schemas.openxmlformats.org/package/2006/metadata/core-properties"/>
    <ds:schemaRef ds:uri="78cec8e6-2dd2-454d-b20c-951d9c576460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1F1B20D-F06E-4264-9F1A-2EB99F0496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Plano de Aplicação</vt:lpstr>
      <vt:lpstr>Plano de Custeio </vt:lpstr>
      <vt:lpstr>Memória de cálculo Invest </vt:lpstr>
      <vt:lpstr>'Plano de Custeio 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Miramar de Souza Almeida</dc:creator>
  <cp:keywords/>
  <dc:description/>
  <cp:lastModifiedBy>Douglas Brunelli</cp:lastModifiedBy>
  <cp:revision/>
  <dcterms:created xsi:type="dcterms:W3CDTF">2015-08-25T14:37:43Z</dcterms:created>
  <dcterms:modified xsi:type="dcterms:W3CDTF">2024-04-12T17:20:04Z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0x010100B528CC9628AE7E4D9780EBCDDA4CCE5D</vt:lpwstr>
  </property>
  <property fmtid="{D5CDD505-2E9C-101B-9397-08002B2CF9AE}" pid="3" name="MediaServiceImageTags">
    <vt:lpwstr/>
  </property>
</Properties>
</file>