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2.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3.xml" ContentType="application/vnd.openxmlformats-officedocument.spreadsheetml.table+xml"/>
  <Override PartName="/xl/comments5.xml" ContentType="application/vnd.openxmlformats-officedocument.spreadsheetml.comments+xml"/>
  <Override PartName="/xl/threadedComments/threadedComment5.xml" ContentType="application/vnd.ms-excel.threadedcomments+xml"/>
  <Override PartName="/xl/tables/table4.xml" ContentType="application/vnd.openxmlformats-officedocument.spreadsheetml.table+xml"/>
  <Override PartName="/xl/comments6.xml" ContentType="application/vnd.openxmlformats-officedocument.spreadsheetml.comments+xml"/>
  <Override PartName="/xl/threadedComments/threadedComment6.xml" ContentType="application/vnd.ms-excel.threadedcomments+xml"/>
  <Override PartName="/xl/tables/table5.xml" ContentType="application/vnd.openxmlformats-officedocument.spreadsheetml.table+xml"/>
  <Override PartName="/xl/queryTables/queryTable1.xml" ContentType="application/vnd.openxmlformats-officedocument.spreadsheetml.queryTable+xml"/>
  <Override PartName="/xl/tables/table6.xml" ContentType="application/vnd.openxmlformats-officedocument.spreadsheetml.table+xml"/>
  <Override PartName="/xl/tables/table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6"/>
  <workbookPr hidePivotFieldList="1" defaultThemeVersion="124226"/>
  <mc:AlternateContent xmlns:mc="http://schemas.openxmlformats.org/markup-compatibility/2006">
    <mc:Choice Requires="x15">
      <x15ac:absPath xmlns:x15ac="http://schemas.microsoft.com/office/spreadsheetml/2010/11/ac" url="https://governosp-my.sharepoint.com/personal/crhi_dpg_sp_gov_br/Documents/REDE-DPG/FEHIDRO/Rateio/Nova Proposta de Rateio CFURH/"/>
    </mc:Choice>
  </mc:AlternateContent>
  <xr:revisionPtr revIDLastSave="507" documentId="8_{BEFA70A7-4DCF-4C59-80B4-DC86953E7A2E}" xr6:coauthVersionLast="46" xr6:coauthVersionMax="46" xr10:uidLastSave="{DBB13859-33F7-49C5-9DD1-FBF2F43E0E19}"/>
  <bookViews>
    <workbookView xWindow="-108" yWindow="-108" windowWidth="23256" windowHeight="12576" tabRatio="883" firstSheet="2" activeTab="7" xr2:uid="{00000000-000D-0000-FFFF-FFFF00000000}"/>
  </bookViews>
  <sheets>
    <sheet name="Potencial Arrecadação Cobrança" sheetId="9" r:id="rId1"/>
    <sheet name="Utilização R$ FEHIDRO" sheetId="23" r:id="rId2"/>
    <sheet name="Capacitação" sheetId="27" r:id="rId3"/>
    <sheet name="Gestão" sheetId="28" r:id="rId4"/>
    <sheet name="Transparência SIGRH" sheetId="16" r:id="rId5"/>
    <sheet name="Rateio" sheetId="19" r:id="rId6"/>
    <sheet name="empreend 2019_2020" sheetId="33" r:id="rId7"/>
    <sheet name="PAPI" sheetId="34" r:id="rId8"/>
    <sheet name="Info- DOF - cfurh_cob - " sheetId="7" state="hidden" r:id="rId9"/>
    <sheet name="listasuspensa" sheetId="22" state="hidden" r:id="rId10"/>
  </sheets>
  <externalReferences>
    <externalReference r:id="rId11"/>
    <externalReference r:id="rId12"/>
  </externalReferences>
  <definedNames>
    <definedName name="_xlnm._FilterDatabase" localSheetId="2" hidden="1">Capacitação!$A$1:$C$1</definedName>
    <definedName name="_xlnm._FilterDatabase" localSheetId="6" hidden="1">'empreend 2019_2020'!$A$1:$J$702</definedName>
    <definedName name="_xlnm._FilterDatabase" localSheetId="3" hidden="1">Gestão!$A$1:$E$22</definedName>
    <definedName name="_xlnm._FilterDatabase" localSheetId="8" hidden="1">'Info- DOF - cfurh_cob - '!$A$72:$Z$72</definedName>
    <definedName name="_xlnm._FilterDatabase" localSheetId="0" hidden="1">'Potencial Arrecadação Cobrança'!$J$1:$L$22</definedName>
    <definedName name="_xlnm._FilterDatabase" localSheetId="5" hidden="1">Rateio!$A$1:$H$22</definedName>
    <definedName name="_xlnm._FilterDatabase" localSheetId="4" hidden="1">'Transparência SIGRH'!$A$1:$M$22</definedName>
    <definedName name="_xlnm._FilterDatabase" localSheetId="1" hidden="1">'Utilização R$ FEHIDRO'!$A$1:$B$22</definedName>
    <definedName name="_xlcn.WorksheetConnection_V9_PropostaRATEIOCFURH.xlsxDim_Colegiado1" hidden="1">[1]!Dim_Colegiado</definedName>
    <definedName name="_xlcn.WorksheetConnection_V9_PropostaRATEIOCFURH.xlsxDIM_SUBPDC1" hidden="1">[1]!DIM_SUBPDC</definedName>
    <definedName name="_xlcn.WorksheetConnection_V9_PropostaRATEIOCFURH.xlsxempreend_Fehidro1" hidden="1">[1]!empreend_Fehidro</definedName>
    <definedName name="_xlnm.Print_Area" localSheetId="5">Rateio!$A$1:$G$22</definedName>
    <definedName name="complem">[2]Operacional!#REF!</definedName>
    <definedName name="critico">[2]Operacional!#REF!</definedName>
    <definedName name="DadosExternos_1" localSheetId="7" hidden="1">PAPI!$A$1:$E$136</definedName>
    <definedName name="_xlnm.Print_Titles" localSheetId="5">Rateio!$A:$A</definedName>
  </definedNames>
  <calcPr calcId="191028"/>
  <extLst>
    <ext xmlns:x15="http://schemas.microsoft.com/office/spreadsheetml/2010/11/main" uri="{FCE2AD5D-F65C-4FA6-A056-5C36A1767C68}">
      <x15:dataModel>
        <x15:modelTables>
          <x15:modelTable id="empreend_Fehidro" name="empreend_Fehidro" connection="WorksheetConnection_V9_Proposta RATEIO CFURH.xlsx!empreend_Fehidro"/>
          <x15:modelTable id="DIM_SUBPDC" name="DIM_SUBPDC" connection="WorksheetConnection_V9_Proposta RATEIO CFURH.xlsx!DIM_SUBPDC"/>
          <x15:modelTable id="Dim_Colegiado" name="Dim_Colegiado" connection="WorksheetConnection_V9_Proposta RATEIO CFURH.xlsx!Dim_Colegiado"/>
        </x15:modelTables>
        <x15:modelRelationships>
          <x15:modelRelationship fromTable="empreend_Fehidro" fromColumn="UGRHI" toTable="Dim_Colegiado" toColumn="UGRHI"/>
          <x15:modelRelationship fromTable="empreend_Fehidro" fromColumn="PDC class" toTable="DIM_SUBPDC" toColumn="subpdc cod2"/>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28" l="1"/>
  <c r="G4" i="28"/>
  <c r="G5" i="28"/>
  <c r="G6" i="28"/>
  <c r="G7" i="28"/>
  <c r="G8" i="28"/>
  <c r="G9" i="28"/>
  <c r="G10" i="28"/>
  <c r="G11" i="28"/>
  <c r="G12" i="28"/>
  <c r="G13" i="28"/>
  <c r="G14" i="28"/>
  <c r="G15" i="28"/>
  <c r="G16" i="28"/>
  <c r="G17" i="28"/>
  <c r="G18" i="28"/>
  <c r="G19" i="28"/>
  <c r="G20" i="28"/>
  <c r="G21" i="28"/>
  <c r="G22" i="28"/>
  <c r="G2" i="28"/>
  <c r="H3" i="28"/>
  <c r="H4" i="28"/>
  <c r="H5" i="28"/>
  <c r="H6" i="28"/>
  <c r="H7" i="28"/>
  <c r="H8" i="28"/>
  <c r="H9" i="28"/>
  <c r="H10" i="28"/>
  <c r="H11" i="28"/>
  <c r="H12" i="28"/>
  <c r="H13" i="28"/>
  <c r="H14" i="28"/>
  <c r="H15" i="28"/>
  <c r="H16" i="28"/>
  <c r="H17" i="28"/>
  <c r="H18" i="28"/>
  <c r="H19" i="28"/>
  <c r="H20" i="28"/>
  <c r="H21" i="28"/>
  <c r="H22" i="28"/>
  <c r="H2" i="28"/>
  <c r="K3" i="33" a="1"/>
  <c r="K3" i="33"/>
  <c r="K4" i="33" a="1"/>
  <c r="K4" i="33"/>
  <c r="K5" i="33" a="1"/>
  <c r="K5" i="33"/>
  <c r="K6" i="33" a="1"/>
  <c r="K6" i="33"/>
  <c r="K7" i="33" a="1"/>
  <c r="K7" i="33"/>
  <c r="K8" i="33" a="1"/>
  <c r="K8" i="33"/>
  <c r="K9" i="33" a="1"/>
  <c r="K9" i="33"/>
  <c r="K10" i="33" a="1"/>
  <c r="K10" i="33"/>
  <c r="K11" i="33" a="1"/>
  <c r="K11" i="33"/>
  <c r="K12" i="33" a="1"/>
  <c r="K12" i="33"/>
  <c r="K13" i="33" a="1"/>
  <c r="K13" i="33"/>
  <c r="K14" i="33" a="1"/>
  <c r="K14" i="33"/>
  <c r="K15" i="33" a="1"/>
  <c r="K15" i="33"/>
  <c r="K16" i="33" a="1"/>
  <c r="K16" i="33"/>
  <c r="K17" i="33" a="1"/>
  <c r="K17" i="33"/>
  <c r="K18" i="33" a="1"/>
  <c r="K18" i="33"/>
  <c r="K19" i="33" a="1"/>
  <c r="K19" i="33"/>
  <c r="K20" i="33" a="1"/>
  <c r="K20" i="33"/>
  <c r="K21" i="33" a="1"/>
  <c r="K21" i="33"/>
  <c r="K22" i="33" a="1"/>
  <c r="K22" i="33"/>
  <c r="K23" i="33" a="1"/>
  <c r="K23" i="33"/>
  <c r="K24" i="33" a="1"/>
  <c r="K24" i="33"/>
  <c r="K25" i="33" a="1"/>
  <c r="K25" i="33"/>
  <c r="K26" i="33" a="1"/>
  <c r="K26" i="33"/>
  <c r="K27" i="33" a="1"/>
  <c r="K27" i="33"/>
  <c r="K28" i="33" a="1"/>
  <c r="K28" i="33"/>
  <c r="K29" i="33" a="1"/>
  <c r="K29" i="33"/>
  <c r="K30" i="33" a="1"/>
  <c r="K30" i="33"/>
  <c r="K31" i="33" a="1"/>
  <c r="K31" i="33"/>
  <c r="K32" i="33" a="1"/>
  <c r="K32" i="33"/>
  <c r="K33" i="33" a="1"/>
  <c r="K33" i="33"/>
  <c r="K34" i="33" a="1"/>
  <c r="K34" i="33"/>
  <c r="K35" i="33" a="1"/>
  <c r="K35" i="33"/>
  <c r="K36" i="33" a="1"/>
  <c r="K36" i="33"/>
  <c r="K37" i="33" a="1"/>
  <c r="K37" i="33"/>
  <c r="K38" i="33" a="1"/>
  <c r="K38" i="33"/>
  <c r="K39" i="33" a="1"/>
  <c r="K39" i="33"/>
  <c r="K40" i="33" a="1"/>
  <c r="K40" i="33"/>
  <c r="K41" i="33" a="1"/>
  <c r="K41" i="33"/>
  <c r="K42" i="33" a="1"/>
  <c r="K42" i="33"/>
  <c r="K43" i="33" a="1"/>
  <c r="K43" i="33"/>
  <c r="K44" i="33" a="1"/>
  <c r="K44" i="33"/>
  <c r="K45" i="33" a="1"/>
  <c r="K45" i="33"/>
  <c r="K46" i="33" a="1"/>
  <c r="K46" i="33"/>
  <c r="K47" i="33" a="1"/>
  <c r="K47" i="33"/>
  <c r="K48" i="33" a="1"/>
  <c r="K48" i="33"/>
  <c r="K49" i="33" a="1"/>
  <c r="K49" i="33"/>
  <c r="K50" i="33" a="1"/>
  <c r="K50" i="33"/>
  <c r="K51" i="33" a="1"/>
  <c r="K51" i="33"/>
  <c r="K52" i="33" a="1"/>
  <c r="K52" i="33"/>
  <c r="K53" i="33" a="1"/>
  <c r="K53" i="33"/>
  <c r="K54" i="33" a="1"/>
  <c r="K54" i="33"/>
  <c r="K55" i="33" a="1"/>
  <c r="K55" i="33"/>
  <c r="K56" i="33" a="1"/>
  <c r="K56" i="33"/>
  <c r="K57" i="33" a="1"/>
  <c r="K57" i="33"/>
  <c r="K58" i="33" a="1"/>
  <c r="K58" i="33"/>
  <c r="K59" i="33" a="1"/>
  <c r="K59" i="33"/>
  <c r="K60" i="33" a="1"/>
  <c r="K60" i="33"/>
  <c r="K61" i="33" a="1"/>
  <c r="K61" i="33"/>
  <c r="K62" i="33" a="1"/>
  <c r="K62" i="33"/>
  <c r="K63" i="33" a="1"/>
  <c r="K63" i="33"/>
  <c r="K64" i="33" a="1"/>
  <c r="K64" i="33"/>
  <c r="K65" i="33" a="1"/>
  <c r="K65" i="33"/>
  <c r="K66" i="33" a="1"/>
  <c r="K66" i="33"/>
  <c r="K67" i="33" a="1"/>
  <c r="K67" i="33"/>
  <c r="K68" i="33" a="1"/>
  <c r="K68" i="33"/>
  <c r="K69" i="33" a="1"/>
  <c r="K69" i="33"/>
  <c r="K70" i="33" a="1"/>
  <c r="K70" i="33"/>
  <c r="K71" i="33" a="1"/>
  <c r="K71" i="33"/>
  <c r="K72" i="33" a="1"/>
  <c r="K72" i="33"/>
  <c r="K73" i="33" a="1"/>
  <c r="K73" i="33"/>
  <c r="K74" i="33" a="1"/>
  <c r="K74" i="33"/>
  <c r="K75" i="33" a="1"/>
  <c r="K75" i="33"/>
  <c r="K76" i="33" a="1"/>
  <c r="K76" i="33"/>
  <c r="K77" i="33" a="1"/>
  <c r="K77" i="33"/>
  <c r="K78" i="33" a="1"/>
  <c r="K78" i="33"/>
  <c r="K79" i="33" a="1"/>
  <c r="K79" i="33"/>
  <c r="K80" i="33" a="1"/>
  <c r="K80" i="33"/>
  <c r="K81" i="33" a="1"/>
  <c r="K81" i="33"/>
  <c r="K82" i="33" a="1"/>
  <c r="K82" i="33"/>
  <c r="K83" i="33" a="1"/>
  <c r="K83" i="33"/>
  <c r="K84" i="33" a="1"/>
  <c r="K84" i="33"/>
  <c r="K85" i="33" a="1"/>
  <c r="K85" i="33"/>
  <c r="K86" i="33" a="1"/>
  <c r="K86" i="33"/>
  <c r="K87" i="33" a="1"/>
  <c r="K87" i="33"/>
  <c r="K88" i="33" a="1"/>
  <c r="K88" i="33"/>
  <c r="K89" i="33" a="1"/>
  <c r="K89" i="33"/>
  <c r="K90" i="33" a="1"/>
  <c r="K90" i="33"/>
  <c r="K91" i="33" a="1"/>
  <c r="K91" i="33"/>
  <c r="K92" i="33" a="1"/>
  <c r="K92" i="33"/>
  <c r="K93" i="33" a="1"/>
  <c r="K93" i="33"/>
  <c r="K94" i="33" a="1"/>
  <c r="K94" i="33"/>
  <c r="K95" i="33" a="1"/>
  <c r="K95" i="33"/>
  <c r="K96" i="33" a="1"/>
  <c r="K96" i="33"/>
  <c r="K97" i="33" a="1"/>
  <c r="K97" i="33"/>
  <c r="K98" i="33" a="1"/>
  <c r="K98" i="33"/>
  <c r="K99" i="33" a="1"/>
  <c r="K99" i="33"/>
  <c r="K100" i="33" a="1"/>
  <c r="K100" i="33"/>
  <c r="K101" i="33" a="1"/>
  <c r="K101" i="33"/>
  <c r="K102" i="33" a="1"/>
  <c r="K102" i="33"/>
  <c r="K103" i="33" a="1"/>
  <c r="K103" i="33"/>
  <c r="K104" i="33" a="1"/>
  <c r="K104" i="33"/>
  <c r="K105" i="33" a="1"/>
  <c r="K105" i="33"/>
  <c r="K106" i="33" a="1"/>
  <c r="K106" i="33"/>
  <c r="K107" i="33" a="1"/>
  <c r="K107" i="33"/>
  <c r="K108" i="33" a="1"/>
  <c r="K108" i="33"/>
  <c r="K109" i="33" a="1"/>
  <c r="K109" i="33"/>
  <c r="K110" i="33" a="1"/>
  <c r="K110" i="33"/>
  <c r="K111" i="33" a="1"/>
  <c r="K111" i="33"/>
  <c r="K112" i="33" a="1"/>
  <c r="K112" i="33"/>
  <c r="K113" i="33" a="1"/>
  <c r="K113" i="33"/>
  <c r="K114" i="33" a="1"/>
  <c r="K114" i="33"/>
  <c r="K115" i="33" a="1"/>
  <c r="K115" i="33"/>
  <c r="K116" i="33" a="1"/>
  <c r="K116" i="33"/>
  <c r="K117" i="33" a="1"/>
  <c r="K117" i="33"/>
  <c r="K118" i="33" a="1"/>
  <c r="K118" i="33"/>
  <c r="K119" i="33" a="1"/>
  <c r="K119" i="33"/>
  <c r="K120" i="33" a="1"/>
  <c r="K120" i="33"/>
  <c r="K121" i="33" a="1"/>
  <c r="K121" i="33"/>
  <c r="K122" i="33" a="1"/>
  <c r="K122" i="33"/>
  <c r="K123" i="33" a="1"/>
  <c r="K123" i="33"/>
  <c r="K124" i="33" a="1"/>
  <c r="K124" i="33"/>
  <c r="K125" i="33" a="1"/>
  <c r="K125" i="33"/>
  <c r="K126" i="33" a="1"/>
  <c r="K126" i="33"/>
  <c r="K127" i="33" a="1"/>
  <c r="K127" i="33"/>
  <c r="K128" i="33" a="1"/>
  <c r="K128" i="33"/>
  <c r="K129" i="33" a="1"/>
  <c r="K129" i="33"/>
  <c r="K130" i="33" a="1"/>
  <c r="K130" i="33"/>
  <c r="K131" i="33" a="1"/>
  <c r="K131" i="33"/>
  <c r="K132" i="33" a="1"/>
  <c r="K132" i="33"/>
  <c r="K133" i="33" a="1"/>
  <c r="K133" i="33"/>
  <c r="K134" i="33" a="1"/>
  <c r="K134" i="33"/>
  <c r="K135" i="33" a="1"/>
  <c r="K135" i="33"/>
  <c r="K136" i="33" a="1"/>
  <c r="K136" i="33"/>
  <c r="K137" i="33" a="1"/>
  <c r="K137" i="33"/>
  <c r="K138" i="33" a="1"/>
  <c r="K138" i="33"/>
  <c r="K139" i="33" a="1"/>
  <c r="K139" i="33"/>
  <c r="K140" i="33" a="1"/>
  <c r="K140" i="33"/>
  <c r="K141" i="33" a="1"/>
  <c r="K141" i="33"/>
  <c r="K142" i="33" a="1"/>
  <c r="K142" i="33"/>
  <c r="K143" i="33" a="1"/>
  <c r="K143" i="33"/>
  <c r="K144" i="33" a="1"/>
  <c r="K144" i="33"/>
  <c r="K145" i="33" a="1"/>
  <c r="K145" i="33"/>
  <c r="K146" i="33" a="1"/>
  <c r="K146" i="33"/>
  <c r="K147" i="33" a="1"/>
  <c r="K147" i="33"/>
  <c r="K148" i="33" a="1"/>
  <c r="K148" i="33"/>
  <c r="K149" i="33" a="1"/>
  <c r="K149" i="33"/>
  <c r="K150" i="33" a="1"/>
  <c r="K150" i="33"/>
  <c r="K151" i="33" a="1"/>
  <c r="K151" i="33"/>
  <c r="K152" i="33" a="1"/>
  <c r="K152" i="33"/>
  <c r="K153" i="33" a="1"/>
  <c r="K153" i="33"/>
  <c r="K154" i="33" a="1"/>
  <c r="K154" i="33"/>
  <c r="K155" i="33" a="1"/>
  <c r="K155" i="33"/>
  <c r="K156" i="33" a="1"/>
  <c r="K156" i="33"/>
  <c r="K157" i="33" a="1"/>
  <c r="K157" i="33"/>
  <c r="K158" i="33" a="1"/>
  <c r="K158" i="33"/>
  <c r="K159" i="33" a="1"/>
  <c r="K159" i="33"/>
  <c r="K160" i="33" a="1"/>
  <c r="K160" i="33"/>
  <c r="K161" i="33" a="1"/>
  <c r="K161" i="33"/>
  <c r="K162" i="33" a="1"/>
  <c r="K162" i="33"/>
  <c r="K163" i="33" a="1"/>
  <c r="K163" i="33"/>
  <c r="K164" i="33" a="1"/>
  <c r="K164" i="33"/>
  <c r="K165" i="33" a="1"/>
  <c r="K165" i="33"/>
  <c r="K166" i="33" a="1"/>
  <c r="K166" i="33"/>
  <c r="K167" i="33" a="1"/>
  <c r="K167" i="33"/>
  <c r="K168" i="33" a="1"/>
  <c r="K168" i="33"/>
  <c r="K169" i="33" a="1"/>
  <c r="K169" i="33"/>
  <c r="K170" i="33" a="1"/>
  <c r="K170" i="33"/>
  <c r="K171" i="33" a="1"/>
  <c r="K171" i="33"/>
  <c r="K172" i="33" a="1"/>
  <c r="K172" i="33"/>
  <c r="K173" i="33" a="1"/>
  <c r="K173" i="33"/>
  <c r="K174" i="33" a="1"/>
  <c r="K174" i="33"/>
  <c r="K175" i="33" a="1"/>
  <c r="K175" i="33"/>
  <c r="K176" i="33" a="1"/>
  <c r="K176" i="33"/>
  <c r="K177" i="33" a="1"/>
  <c r="K177" i="33"/>
  <c r="K178" i="33" a="1"/>
  <c r="K178" i="33"/>
  <c r="K179" i="33" a="1"/>
  <c r="K179" i="33"/>
  <c r="K180" i="33" a="1"/>
  <c r="K180" i="33"/>
  <c r="K181" i="33" a="1"/>
  <c r="K181" i="33"/>
  <c r="K182" i="33" a="1"/>
  <c r="K182" i="33"/>
  <c r="K183" i="33" a="1"/>
  <c r="K183" i="33"/>
  <c r="K184" i="33" a="1"/>
  <c r="K184" i="33"/>
  <c r="K185" i="33" a="1"/>
  <c r="K185" i="33"/>
  <c r="K186" i="33" a="1"/>
  <c r="K186" i="33"/>
  <c r="K187" i="33" a="1"/>
  <c r="K187" i="33"/>
  <c r="K188" i="33" a="1"/>
  <c r="K188" i="33"/>
  <c r="K189" i="33" a="1"/>
  <c r="K189" i="33"/>
  <c r="K190" i="33" a="1"/>
  <c r="K190" i="33"/>
  <c r="K191" i="33" a="1"/>
  <c r="K191" i="33"/>
  <c r="K192" i="33" a="1"/>
  <c r="K192" i="33"/>
  <c r="K193" i="33" a="1"/>
  <c r="K193" i="33"/>
  <c r="K194" i="33" a="1"/>
  <c r="K194" i="33"/>
  <c r="K195" i="33" a="1"/>
  <c r="K195" i="33"/>
  <c r="K196" i="33" a="1"/>
  <c r="K196" i="33"/>
  <c r="K197" i="33" a="1"/>
  <c r="K197" i="33"/>
  <c r="K198" i="33" a="1"/>
  <c r="K198" i="33"/>
  <c r="K199" i="33" a="1"/>
  <c r="K199" i="33"/>
  <c r="K200" i="33" a="1"/>
  <c r="K200" i="33"/>
  <c r="K201" i="33" a="1"/>
  <c r="K201" i="33"/>
  <c r="K202" i="33" a="1"/>
  <c r="K202" i="33"/>
  <c r="K203" i="33" a="1"/>
  <c r="K203" i="33"/>
  <c r="K204" i="33" a="1"/>
  <c r="K204" i="33"/>
  <c r="K205" i="33" a="1"/>
  <c r="K205" i="33"/>
  <c r="K206" i="33" a="1"/>
  <c r="K206" i="33"/>
  <c r="K207" i="33" a="1"/>
  <c r="K207" i="33"/>
  <c r="K208" i="33" a="1"/>
  <c r="K208" i="33"/>
  <c r="K209" i="33" a="1"/>
  <c r="K209" i="33"/>
  <c r="K210" i="33" a="1"/>
  <c r="K210" i="33"/>
  <c r="K211" i="33" a="1"/>
  <c r="K211" i="33"/>
  <c r="K212" i="33" a="1"/>
  <c r="K212" i="33"/>
  <c r="K213" i="33" a="1"/>
  <c r="K213" i="33"/>
  <c r="K214" i="33" a="1"/>
  <c r="K214" i="33"/>
  <c r="K215" i="33" a="1"/>
  <c r="K215" i="33"/>
  <c r="K216" i="33" a="1"/>
  <c r="K216" i="33"/>
  <c r="K217" i="33" a="1"/>
  <c r="K217" i="33"/>
  <c r="K218" i="33" a="1"/>
  <c r="K218" i="33"/>
  <c r="K219" i="33" a="1"/>
  <c r="K219" i="33"/>
  <c r="K220" i="33" a="1"/>
  <c r="K220" i="33"/>
  <c r="K221" i="33" a="1"/>
  <c r="K221" i="33"/>
  <c r="K222" i="33" a="1"/>
  <c r="K222" i="33"/>
  <c r="K223" i="33" a="1"/>
  <c r="K223" i="33"/>
  <c r="K224" i="33" a="1"/>
  <c r="K224" i="33"/>
  <c r="K225" i="33" a="1"/>
  <c r="K225" i="33"/>
  <c r="K226" i="33" a="1"/>
  <c r="K226" i="33"/>
  <c r="K227" i="33" a="1"/>
  <c r="K227" i="33"/>
  <c r="K228" i="33" a="1"/>
  <c r="K228" i="33"/>
  <c r="K229" i="33" a="1"/>
  <c r="K229" i="33"/>
  <c r="K230" i="33" a="1"/>
  <c r="K230" i="33"/>
  <c r="K231" i="33" a="1"/>
  <c r="K231" i="33"/>
  <c r="K232" i="33" a="1"/>
  <c r="K232" i="33"/>
  <c r="K233" i="33" a="1"/>
  <c r="K233" i="33"/>
  <c r="K234" i="33" a="1"/>
  <c r="K234" i="33"/>
  <c r="K235" i="33" a="1"/>
  <c r="K235" i="33"/>
  <c r="K236" i="33" a="1"/>
  <c r="K236" i="33"/>
  <c r="K237" i="33" a="1"/>
  <c r="K237" i="33"/>
  <c r="K238" i="33" a="1"/>
  <c r="K238" i="33"/>
  <c r="K239" i="33" a="1"/>
  <c r="K239" i="33"/>
  <c r="K240" i="33" a="1"/>
  <c r="K240" i="33"/>
  <c r="K241" i="33" a="1"/>
  <c r="K241" i="33"/>
  <c r="K242" i="33" a="1"/>
  <c r="K242" i="33"/>
  <c r="K243" i="33" a="1"/>
  <c r="K243" i="33"/>
  <c r="K244" i="33" a="1"/>
  <c r="K244" i="33"/>
  <c r="K245" i="33" a="1"/>
  <c r="K245" i="33"/>
  <c r="K246" i="33" a="1"/>
  <c r="K246" i="33"/>
  <c r="K247" i="33" a="1"/>
  <c r="K247" i="33"/>
  <c r="K248" i="33" a="1"/>
  <c r="K248" i="33"/>
  <c r="K249" i="33" a="1"/>
  <c r="K249" i="33"/>
  <c r="K250" i="33" a="1"/>
  <c r="K250" i="33"/>
  <c r="K251" i="33" a="1"/>
  <c r="K251" i="33"/>
  <c r="K2" i="33" a="1"/>
  <c r="K2" i="33" s="1"/>
  <c r="G2" i="23" a="1"/>
  <c r="G2" i="23" s="1"/>
  <c r="C2" i="23" l="1" a="1"/>
  <c r="C2" i="23" s="1"/>
  <c r="E2" i="9"/>
  <c r="B22" i="27" a="1"/>
  <c r="B22" i="27" s="1"/>
  <c r="B21" i="27" a="1"/>
  <c r="B21" i="27" s="1"/>
  <c r="B20" i="27" a="1"/>
  <c r="B20" i="27" s="1"/>
  <c r="B19" i="27" a="1"/>
  <c r="B19" i="27" s="1"/>
  <c r="B18" i="27" a="1"/>
  <c r="B18" i="27" s="1"/>
  <c r="B17" i="27" a="1"/>
  <c r="B17" i="27" s="1"/>
  <c r="B16" i="27" a="1"/>
  <c r="B16" i="27" s="1"/>
  <c r="B15" i="27" a="1"/>
  <c r="B15" i="27" s="1"/>
  <c r="B14" i="27" a="1"/>
  <c r="B14" i="27" s="1"/>
  <c r="B13" i="27" a="1"/>
  <c r="B13" i="27" s="1"/>
  <c r="B12" i="27" a="1"/>
  <c r="B12" i="27" s="1"/>
  <c r="B11" i="27" a="1"/>
  <c r="B11" i="27" s="1"/>
  <c r="B10" i="27" a="1"/>
  <c r="B10" i="27" s="1"/>
  <c r="B9" i="27" a="1"/>
  <c r="B9" i="27" s="1"/>
  <c r="B8" i="27" a="1"/>
  <c r="B8" i="27" s="1"/>
  <c r="B7" i="27" a="1"/>
  <c r="B7" i="27" s="1"/>
  <c r="B6" i="27" a="1"/>
  <c r="B6" i="27" s="1"/>
  <c r="B5" i="27" a="1"/>
  <c r="B5" i="27" s="1"/>
  <c r="B4" i="27" a="1"/>
  <c r="B4" i="27" s="1"/>
  <c r="B3" i="27" a="1"/>
  <c r="B3" i="27" s="1"/>
  <c r="B2" i="27" a="1"/>
  <c r="B2" i="27" s="1"/>
  <c r="C22" i="28" a="1"/>
  <c r="C22" i="28"/>
  <c r="C21" i="28" a="1"/>
  <c r="C21" i="28"/>
  <c r="C20" i="28" a="1"/>
  <c r="C20" i="28"/>
  <c r="C19" i="28" a="1"/>
  <c r="C19" i="28"/>
  <c r="C18" i="28" a="1"/>
  <c r="C18" i="28"/>
  <c r="C17" i="28" a="1"/>
  <c r="C17" i="28"/>
  <c r="C16" i="28" a="1"/>
  <c r="C16" i="28"/>
  <c r="C15" i="28" a="1"/>
  <c r="C15" i="28"/>
  <c r="C14" i="28" a="1"/>
  <c r="C14" i="28"/>
  <c r="C13" i="28" a="1"/>
  <c r="C13" i="28"/>
  <c r="C12" i="28" a="1"/>
  <c r="C12" i="28"/>
  <c r="C11" i="28" a="1"/>
  <c r="C11" i="28"/>
  <c r="C10" i="28" a="1"/>
  <c r="C10" i="28"/>
  <c r="C9" i="28" a="1"/>
  <c r="C9" i="28"/>
  <c r="C8" i="28" a="1"/>
  <c r="C8" i="28"/>
  <c r="C7" i="28" a="1"/>
  <c r="C7" i="28"/>
  <c r="C6" i="28" a="1"/>
  <c r="C6" i="28"/>
  <c r="C5" i="28" a="1"/>
  <c r="C5" i="28"/>
  <c r="C4" i="28" a="1"/>
  <c r="C4" i="28"/>
  <c r="C3" i="28" a="1"/>
  <c r="C3" i="28"/>
  <c r="C2" i="28" a="1"/>
  <c r="C2" i="28"/>
  <c r="B20" i="16" a="1"/>
  <c r="B20" i="16"/>
  <c r="B19" i="16" a="1"/>
  <c r="B19" i="16"/>
  <c r="B18" i="16" a="1"/>
  <c r="B18" i="16"/>
  <c r="B17" i="16" a="1"/>
  <c r="B17" i="16"/>
  <c r="B16" i="16" a="1"/>
  <c r="B16" i="16"/>
  <c r="B15" i="16" a="1"/>
  <c r="B15" i="16"/>
  <c r="B14" i="16" a="1"/>
  <c r="B14" i="16"/>
  <c r="B13" i="16" a="1"/>
  <c r="B13" i="16"/>
  <c r="B12" i="16" a="1"/>
  <c r="B12" i="16"/>
  <c r="B11" i="16" a="1"/>
  <c r="B11" i="16"/>
  <c r="B10" i="16" a="1"/>
  <c r="B10" i="16"/>
  <c r="B9" i="16" a="1"/>
  <c r="B9" i="16"/>
  <c r="B8" i="16" a="1"/>
  <c r="B8" i="16"/>
  <c r="B7" i="16" a="1"/>
  <c r="B7" i="16"/>
  <c r="B6" i="16" a="1"/>
  <c r="B6" i="16"/>
  <c r="B5" i="16" a="1"/>
  <c r="B5" i="16"/>
  <c r="B4" i="16" a="1"/>
  <c r="B4" i="16"/>
  <c r="B3" i="16" a="1"/>
  <c r="B3" i="16"/>
  <c r="B2" i="16" a="1"/>
  <c r="B2" i="16"/>
  <c r="C22" i="16"/>
  <c r="B22" i="16" s="1" a="1"/>
  <c r="B22" i="16" s="1"/>
  <c r="C2" i="16"/>
  <c r="C3" i="16"/>
  <c r="C4" i="16"/>
  <c r="C5" i="16"/>
  <c r="C6" i="16"/>
  <c r="C7" i="16"/>
  <c r="C8" i="16"/>
  <c r="C9" i="16"/>
  <c r="C10" i="16"/>
  <c r="C11" i="16"/>
  <c r="C12" i="16"/>
  <c r="C13" i="16"/>
  <c r="C14" i="16"/>
  <c r="C15" i="16"/>
  <c r="C16" i="16"/>
  <c r="C17" i="16"/>
  <c r="C18" i="16"/>
  <c r="C19" i="16"/>
  <c r="C20" i="16"/>
  <c r="C21" i="16"/>
  <c r="B21" i="16" s="1" a="1"/>
  <c r="B21" i="16" s="1"/>
  <c r="L3" i="9" a="1"/>
  <c r="L3" i="9" s="1"/>
  <c r="L4" i="9" a="1"/>
  <c r="L4" i="9" s="1"/>
  <c r="L5" i="9" a="1"/>
  <c r="L5" i="9" s="1"/>
  <c r="L6" i="9" a="1"/>
  <c r="L6" i="9" s="1"/>
  <c r="L7" i="9" a="1"/>
  <c r="L7" i="9" s="1"/>
  <c r="L8" i="9" a="1"/>
  <c r="L8" i="9" s="1"/>
  <c r="L9" i="9" a="1"/>
  <c r="L9" i="9" s="1"/>
  <c r="L10" i="9" a="1"/>
  <c r="L10" i="9" s="1"/>
  <c r="L11" i="9" a="1"/>
  <c r="L11" i="9" s="1"/>
  <c r="L12" i="9" a="1"/>
  <c r="L12" i="9" s="1"/>
  <c r="L13" i="9" a="1"/>
  <c r="L13" i="9" s="1"/>
  <c r="L14" i="9" a="1"/>
  <c r="L14" i="9" s="1"/>
  <c r="L15" i="9" a="1"/>
  <c r="L15" i="9" s="1"/>
  <c r="L16" i="9" a="1"/>
  <c r="L16" i="9" s="1"/>
  <c r="L17" i="9" a="1"/>
  <c r="L17" i="9" s="1"/>
  <c r="L18" i="9" a="1"/>
  <c r="L18" i="9" s="1"/>
  <c r="L19" i="9" a="1"/>
  <c r="L19" i="9" s="1"/>
  <c r="L20" i="9" a="1"/>
  <c r="L20" i="9" s="1"/>
  <c r="L21" i="9" a="1"/>
  <c r="L21" i="9" s="1"/>
  <c r="L22" i="9" a="1"/>
  <c r="L22" i="9" s="1"/>
  <c r="I2" i="28" l="1"/>
  <c r="I3" i="28" l="1"/>
  <c r="I4" i="28"/>
  <c r="I5" i="28"/>
  <c r="I6" i="28"/>
  <c r="I7" i="28"/>
  <c r="I8" i="28"/>
  <c r="I9" i="28"/>
  <c r="I10" i="28"/>
  <c r="I11" i="28"/>
  <c r="I12" i="28"/>
  <c r="I13" i="28"/>
  <c r="I14" i="28"/>
  <c r="I15" i="28"/>
  <c r="I16" i="28"/>
  <c r="I17" i="28"/>
  <c r="I18" i="28"/>
  <c r="I19" i="28"/>
  <c r="I20" i="28"/>
  <c r="I21" i="28"/>
  <c r="I22" i="28"/>
  <c r="N33" i="22"/>
  <c r="L33" i="22"/>
  <c r="N32" i="22"/>
  <c r="L32" i="22"/>
  <c r="N31" i="22"/>
  <c r="L31" i="22"/>
  <c r="N30" i="22"/>
  <c r="L30" i="22"/>
  <c r="N29" i="22"/>
  <c r="L29" i="22"/>
  <c r="N28" i="22"/>
  <c r="L28" i="22"/>
  <c r="N27" i="22"/>
  <c r="L27" i="22"/>
  <c r="N26" i="22"/>
  <c r="L26" i="22"/>
  <c r="N25" i="22"/>
  <c r="L25" i="22"/>
  <c r="N24" i="22"/>
  <c r="L24" i="22"/>
  <c r="N23" i="22"/>
  <c r="L23" i="22"/>
  <c r="N22" i="22"/>
  <c r="L22" i="22"/>
  <c r="N21" i="22"/>
  <c r="L21" i="22"/>
  <c r="N20" i="22"/>
  <c r="L20" i="22"/>
  <c r="N19" i="22"/>
  <c r="L19" i="22"/>
  <c r="N18" i="22"/>
  <c r="L18" i="22"/>
  <c r="N17" i="22"/>
  <c r="L17" i="22"/>
  <c r="N16" i="22"/>
  <c r="L16" i="22"/>
  <c r="N15" i="22"/>
  <c r="L15" i="22"/>
  <c r="N14" i="22"/>
  <c r="L14" i="22"/>
  <c r="N13" i="22"/>
  <c r="L13" i="22"/>
  <c r="N12" i="22"/>
  <c r="L12" i="22"/>
  <c r="N11" i="22"/>
  <c r="L11" i="22"/>
  <c r="N10" i="22"/>
  <c r="L10" i="22"/>
  <c r="N9" i="22"/>
  <c r="L9" i="22"/>
  <c r="N8" i="22"/>
  <c r="L8" i="22"/>
  <c r="N7" i="22"/>
  <c r="L7" i="22"/>
  <c r="N6" i="22"/>
  <c r="L6" i="22"/>
  <c r="N5" i="22"/>
  <c r="L5" i="22"/>
  <c r="N4" i="22"/>
  <c r="L4" i="22"/>
  <c r="N3" i="22"/>
  <c r="L3" i="22"/>
  <c r="N2" i="22"/>
  <c r="L2" i="22"/>
  <c r="D21" i="19" l="1"/>
  <c r="D3" i="19" l="1"/>
  <c r="D4" i="19"/>
  <c r="D5" i="19"/>
  <c r="D6" i="19"/>
  <c r="D7" i="19"/>
  <c r="D8" i="19"/>
  <c r="D9" i="19"/>
  <c r="D10" i="19"/>
  <c r="D11" i="19"/>
  <c r="D12" i="19"/>
  <c r="D13" i="19"/>
  <c r="D14" i="19"/>
  <c r="D15" i="19"/>
  <c r="D16" i="19"/>
  <c r="D17" i="19"/>
  <c r="D18" i="19"/>
  <c r="D19" i="19"/>
  <c r="D20" i="19"/>
  <c r="D22" i="19"/>
  <c r="D2" i="19"/>
  <c r="K114" i="7" l="1"/>
  <c r="K3" i="28" s="1"/>
  <c r="K115" i="7"/>
  <c r="K4" i="28" s="1"/>
  <c r="K116" i="7"/>
  <c r="K5" i="28" s="1"/>
  <c r="K117" i="7"/>
  <c r="K6" i="28" s="1"/>
  <c r="K118" i="7"/>
  <c r="K7" i="28" s="1"/>
  <c r="K119" i="7"/>
  <c r="K8" i="28" s="1"/>
  <c r="K120" i="7"/>
  <c r="K9" i="28" s="1"/>
  <c r="K121" i="7"/>
  <c r="K10" i="28" s="1"/>
  <c r="K122" i="7"/>
  <c r="K11" i="28" s="1"/>
  <c r="K123" i="7"/>
  <c r="K12" i="28" s="1"/>
  <c r="K124" i="7"/>
  <c r="K13" i="28" s="1"/>
  <c r="K125" i="7"/>
  <c r="K14" i="28" s="1"/>
  <c r="K126" i="7"/>
  <c r="K15" i="28" s="1"/>
  <c r="K127" i="7"/>
  <c r="K16" i="28" s="1"/>
  <c r="K128" i="7"/>
  <c r="K17" i="28" s="1"/>
  <c r="K129" i="7"/>
  <c r="K18" i="28" s="1"/>
  <c r="K130" i="7"/>
  <c r="K19" i="28" s="1"/>
  <c r="K131" i="7"/>
  <c r="K20" i="28" s="1"/>
  <c r="K132" i="7"/>
  <c r="K22" i="28" s="1"/>
  <c r="K133" i="7"/>
  <c r="K21" i="28" s="1"/>
  <c r="K113" i="7"/>
  <c r="K2" i="28" s="1"/>
  <c r="E3" i="19" l="1"/>
  <c r="E4" i="19"/>
  <c r="E5" i="19"/>
  <c r="E6" i="19"/>
  <c r="E7" i="19"/>
  <c r="E8" i="19"/>
  <c r="E9" i="19"/>
  <c r="E10" i="19"/>
  <c r="E11" i="19"/>
  <c r="E12" i="19"/>
  <c r="E13" i="19"/>
  <c r="E14" i="19"/>
  <c r="E15" i="19"/>
  <c r="E16" i="19"/>
  <c r="E17" i="19"/>
  <c r="E18" i="19"/>
  <c r="E19" i="19"/>
  <c r="E20" i="19"/>
  <c r="E21" i="19"/>
  <c r="E2" i="19"/>
  <c r="V78" i="7" l="1"/>
  <c r="B3" i="19"/>
  <c r="B4" i="19"/>
  <c r="B5" i="19"/>
  <c r="B6" i="19"/>
  <c r="B7" i="19"/>
  <c r="B8" i="19"/>
  <c r="B9" i="19"/>
  <c r="B10" i="19"/>
  <c r="B11" i="19"/>
  <c r="B12" i="19"/>
  <c r="B13" i="19"/>
  <c r="B14" i="19"/>
  <c r="B15" i="19"/>
  <c r="B16" i="19"/>
  <c r="B17" i="19"/>
  <c r="B18" i="19"/>
  <c r="B19" i="19"/>
  <c r="B20" i="19"/>
  <c r="B22" i="19"/>
  <c r="B21" i="19"/>
  <c r="L2" i="9" a="1"/>
  <c r="L2" i="9" s="1"/>
  <c r="B2" i="19" l="1"/>
  <c r="F5" i="9"/>
  <c r="F3" i="9"/>
  <c r="F4" i="9"/>
  <c r="F2" i="9"/>
  <c r="J252" i="33" l="1"/>
  <c r="J253" i="33"/>
  <c r="J254" i="33"/>
  <c r="J255" i="33"/>
  <c r="J256" i="33"/>
  <c r="J257" i="33"/>
  <c r="J258" i="33"/>
  <c r="J259" i="33"/>
  <c r="J260" i="33"/>
  <c r="J261" i="33"/>
  <c r="J262" i="33"/>
  <c r="J263" i="33"/>
  <c r="J2" i="33"/>
  <c r="J3" i="33"/>
  <c r="J264" i="33"/>
  <c r="J265" i="33"/>
  <c r="J266" i="33"/>
  <c r="J267" i="33"/>
  <c r="J268" i="33"/>
  <c r="J269" i="33"/>
  <c r="J270" i="33"/>
  <c r="J271" i="33"/>
  <c r="J272" i="33"/>
  <c r="J273" i="33"/>
  <c r="J274" i="33"/>
  <c r="J275" i="33"/>
  <c r="J276" i="33"/>
  <c r="J277" i="33"/>
  <c r="J278" i="33"/>
  <c r="J279" i="33"/>
  <c r="J280" i="33"/>
  <c r="J4" i="33"/>
  <c r="J5" i="33"/>
  <c r="J6" i="33"/>
  <c r="J7" i="33"/>
  <c r="J8" i="33"/>
  <c r="J9" i="33"/>
  <c r="J281" i="33"/>
  <c r="J282" i="33"/>
  <c r="J283" i="33"/>
  <c r="J284" i="33"/>
  <c r="J10" i="33"/>
  <c r="J11" i="33"/>
  <c r="J12" i="33"/>
  <c r="J285" i="33"/>
  <c r="J286" i="33"/>
  <c r="J287" i="33"/>
  <c r="J288" i="33"/>
  <c r="J289" i="33"/>
  <c r="J290" i="33"/>
  <c r="J291" i="33"/>
  <c r="J292" i="33"/>
  <c r="J293" i="33"/>
  <c r="J294" i="33"/>
  <c r="J295" i="33"/>
  <c r="J296" i="33"/>
  <c r="J297" i="33"/>
  <c r="J298" i="33"/>
  <c r="J299" i="33"/>
  <c r="J300" i="33"/>
  <c r="J301" i="33"/>
  <c r="J302" i="33"/>
  <c r="J303" i="33"/>
  <c r="J304" i="33"/>
  <c r="J305" i="33"/>
  <c r="J306" i="33"/>
  <c r="J307" i="33"/>
  <c r="J308" i="33"/>
  <c r="J309" i="33"/>
  <c r="J310" i="33"/>
  <c r="J311" i="33"/>
  <c r="J312" i="33"/>
  <c r="J313" i="33"/>
  <c r="J13" i="33"/>
  <c r="J14" i="33"/>
  <c r="J15" i="33"/>
  <c r="J16" i="33"/>
  <c r="J17" i="33"/>
  <c r="J18" i="33"/>
  <c r="J19" i="33"/>
  <c r="J20" i="33"/>
  <c r="J21" i="33"/>
  <c r="J22" i="33"/>
  <c r="J23" i="33"/>
  <c r="J24" i="33"/>
  <c r="J25" i="33"/>
  <c r="J26" i="33"/>
  <c r="J27" i="33"/>
  <c r="J28" i="33"/>
  <c r="J29" i="33"/>
  <c r="J314" i="33"/>
  <c r="J315" i="33"/>
  <c r="J316" i="33"/>
  <c r="J317" i="33"/>
  <c r="J318" i="33"/>
  <c r="J319" i="33"/>
  <c r="J30" i="33"/>
  <c r="J31" i="33"/>
  <c r="J32" i="33"/>
  <c r="J33" i="33"/>
  <c r="J34" i="33"/>
  <c r="J35" i="33"/>
  <c r="J36" i="33"/>
  <c r="J37" i="33"/>
  <c r="J38" i="33"/>
  <c r="J39" i="33"/>
  <c r="J320" i="33"/>
  <c r="J321" i="33"/>
  <c r="J322" i="33"/>
  <c r="J323" i="33"/>
  <c r="J324" i="33"/>
  <c r="J325" i="33"/>
  <c r="J326" i="33"/>
  <c r="J327" i="33"/>
  <c r="J328" i="33"/>
  <c r="J329" i="33"/>
  <c r="J330" i="33"/>
  <c r="J331" i="33"/>
  <c r="J332" i="33"/>
  <c r="J333" i="33"/>
  <c r="J334" i="33"/>
  <c r="J335" i="33"/>
  <c r="J336" i="33"/>
  <c r="J337" i="33"/>
  <c r="J338" i="33"/>
  <c r="J339" i="33"/>
  <c r="J340" i="33"/>
  <c r="J341" i="33"/>
  <c r="J40" i="33"/>
  <c r="J41" i="33"/>
  <c r="J42" i="33"/>
  <c r="J43" i="33"/>
  <c r="J44" i="33"/>
  <c r="J45" i="33"/>
  <c r="J46" i="33"/>
  <c r="J47" i="33"/>
  <c r="J48" i="33"/>
  <c r="J49" i="33"/>
  <c r="J50" i="33"/>
  <c r="J51" i="33"/>
  <c r="J52" i="33"/>
  <c r="J53" i="33"/>
  <c r="J54" i="33"/>
  <c r="J55" i="33"/>
  <c r="J56" i="33"/>
  <c r="J57" i="33"/>
  <c r="J58" i="33"/>
  <c r="J59" i="33"/>
  <c r="J60" i="33"/>
  <c r="J61" i="33"/>
  <c r="J62" i="33"/>
  <c r="J63" i="33"/>
  <c r="J64" i="33"/>
  <c r="J65" i="33"/>
  <c r="J66" i="33"/>
  <c r="J67" i="33"/>
  <c r="J68" i="33"/>
  <c r="J342" i="33"/>
  <c r="J343" i="33"/>
  <c r="J344" i="33"/>
  <c r="J345" i="33"/>
  <c r="J346" i="33"/>
  <c r="J347" i="33"/>
  <c r="J348" i="33"/>
  <c r="J349" i="33"/>
  <c r="J350" i="33"/>
  <c r="J351" i="33"/>
  <c r="J352" i="33"/>
  <c r="J353" i="33"/>
  <c r="J354" i="33"/>
  <c r="J355" i="33"/>
  <c r="J356" i="33"/>
  <c r="J357" i="33"/>
  <c r="J358" i="33"/>
  <c r="J359" i="33"/>
  <c r="J360" i="33"/>
  <c r="J361" i="33"/>
  <c r="J362" i="33"/>
  <c r="J363" i="33"/>
  <c r="J364" i="33"/>
  <c r="J365" i="33"/>
  <c r="J366" i="33"/>
  <c r="J367" i="33"/>
  <c r="J368" i="33"/>
  <c r="J369" i="33"/>
  <c r="J370" i="33"/>
  <c r="J371" i="33"/>
  <c r="J372" i="33"/>
  <c r="J373" i="33"/>
  <c r="J374" i="33"/>
  <c r="J375" i="33"/>
  <c r="J376" i="33"/>
  <c r="J377" i="33"/>
  <c r="J378" i="33"/>
  <c r="J379" i="33"/>
  <c r="J380" i="33"/>
  <c r="J381" i="33"/>
  <c r="J382" i="33"/>
  <c r="J383" i="33"/>
  <c r="J384" i="33"/>
  <c r="J69" i="33"/>
  <c r="J70" i="33"/>
  <c r="J71" i="33"/>
  <c r="J72" i="33"/>
  <c r="J73" i="33"/>
  <c r="J74" i="33"/>
  <c r="J385" i="33"/>
  <c r="J386" i="33"/>
  <c r="J387" i="33"/>
  <c r="J388" i="33"/>
  <c r="J389" i="33"/>
  <c r="J390" i="33"/>
  <c r="J391" i="33"/>
  <c r="J392" i="33"/>
  <c r="J393" i="33"/>
  <c r="J394" i="33"/>
  <c r="J395" i="33"/>
  <c r="J396" i="33"/>
  <c r="J397" i="33"/>
  <c r="J398" i="33"/>
  <c r="J399" i="33"/>
  <c r="J400" i="33"/>
  <c r="J401" i="33"/>
  <c r="J75" i="33"/>
  <c r="J76" i="33"/>
  <c r="J77" i="33"/>
  <c r="J78" i="33"/>
  <c r="J79" i="33"/>
  <c r="J402" i="33"/>
  <c r="J403" i="33"/>
  <c r="J404" i="33"/>
  <c r="J405" i="33"/>
  <c r="J406" i="33"/>
  <c r="J407" i="33"/>
  <c r="J408" i="33"/>
  <c r="J409" i="33"/>
  <c r="J410" i="33"/>
  <c r="J411" i="33"/>
  <c r="J412" i="33"/>
  <c r="J413" i="33"/>
  <c r="J414" i="33"/>
  <c r="J415" i="33"/>
  <c r="J416" i="33"/>
  <c r="J417" i="33"/>
  <c r="J418" i="33"/>
  <c r="J419" i="33"/>
  <c r="J420" i="33"/>
  <c r="J421" i="33"/>
  <c r="J422" i="33"/>
  <c r="J423" i="33"/>
  <c r="J424" i="33"/>
  <c r="J425" i="33"/>
  <c r="J426" i="33"/>
  <c r="J427" i="33"/>
  <c r="J428" i="33"/>
  <c r="J429" i="33"/>
  <c r="J430" i="33"/>
  <c r="J431" i="33"/>
  <c r="J432" i="33"/>
  <c r="J433" i="33"/>
  <c r="J434" i="33"/>
  <c r="J435" i="33"/>
  <c r="J436" i="33"/>
  <c r="J437" i="33"/>
  <c r="J438" i="33"/>
  <c r="J439" i="33"/>
  <c r="J440" i="33"/>
  <c r="J441" i="33"/>
  <c r="J442" i="33"/>
  <c r="J443" i="33"/>
  <c r="J444" i="33"/>
  <c r="J445" i="33"/>
  <c r="J446" i="33"/>
  <c r="J447" i="33"/>
  <c r="J448" i="33"/>
  <c r="J449" i="33"/>
  <c r="J450" i="33"/>
  <c r="J80" i="33"/>
  <c r="J81" i="33"/>
  <c r="J82" i="33"/>
  <c r="J83" i="33"/>
  <c r="J84" i="33"/>
  <c r="J85" i="33"/>
  <c r="J86" i="33"/>
  <c r="J87" i="33"/>
  <c r="J88" i="33"/>
  <c r="J89" i="33"/>
  <c r="J90" i="33"/>
  <c r="J91" i="33"/>
  <c r="J92" i="33"/>
  <c r="J93" i="33"/>
  <c r="J451" i="33"/>
  <c r="J452" i="33"/>
  <c r="J453" i="33"/>
  <c r="J454" i="33"/>
  <c r="J455" i="33"/>
  <c r="J456" i="33"/>
  <c r="J457" i="33"/>
  <c r="J458" i="33"/>
  <c r="J459" i="33"/>
  <c r="J460" i="33"/>
  <c r="J461" i="33"/>
  <c r="J462" i="33"/>
  <c r="J463" i="33"/>
  <c r="J464" i="33"/>
  <c r="J465" i="33"/>
  <c r="J466" i="33"/>
  <c r="J467" i="33"/>
  <c r="J468" i="33"/>
  <c r="J469" i="33"/>
  <c r="J470" i="33"/>
  <c r="J471" i="33"/>
  <c r="J472" i="33"/>
  <c r="J473" i="33"/>
  <c r="J474" i="33"/>
  <c r="J475" i="33"/>
  <c r="J476" i="33"/>
  <c r="J477" i="33"/>
  <c r="J478" i="33"/>
  <c r="J479" i="33"/>
  <c r="J480" i="33"/>
  <c r="J481" i="33"/>
  <c r="J482" i="33"/>
  <c r="J483" i="33"/>
  <c r="J484" i="33"/>
  <c r="J485" i="33"/>
  <c r="J486" i="33"/>
  <c r="J487" i="33"/>
  <c r="J488" i="33"/>
  <c r="J489" i="33"/>
  <c r="J490" i="33"/>
  <c r="J491" i="33"/>
  <c r="J492" i="33"/>
  <c r="J94" i="33"/>
  <c r="J95" i="33"/>
  <c r="J96" i="33"/>
  <c r="J97" i="33"/>
  <c r="J98" i="33"/>
  <c r="J99" i="33"/>
  <c r="J100" i="33"/>
  <c r="J101" i="33"/>
  <c r="J102" i="33"/>
  <c r="J103" i="33"/>
  <c r="J104" i="33"/>
  <c r="J105" i="33"/>
  <c r="J106" i="33"/>
  <c r="J107" i="33"/>
  <c r="J108" i="33"/>
  <c r="J109" i="33"/>
  <c r="J110" i="33"/>
  <c r="J111" i="33"/>
  <c r="J112" i="33"/>
  <c r="J113" i="33"/>
  <c r="J493" i="33"/>
  <c r="J494" i="33"/>
  <c r="J495" i="33"/>
  <c r="J496" i="33"/>
  <c r="J497" i="33"/>
  <c r="J498" i="33"/>
  <c r="J499" i="33"/>
  <c r="J500" i="33"/>
  <c r="J501" i="33"/>
  <c r="J502" i="33"/>
  <c r="J503" i="33"/>
  <c r="J504" i="33"/>
  <c r="J505" i="33"/>
  <c r="J506" i="33"/>
  <c r="J507" i="33"/>
  <c r="J508" i="33"/>
  <c r="J509" i="33"/>
  <c r="J510" i="33"/>
  <c r="J511" i="33"/>
  <c r="J512" i="33"/>
  <c r="J513" i="33"/>
  <c r="J514" i="33"/>
  <c r="J515" i="33"/>
  <c r="J516" i="33"/>
  <c r="J517" i="33"/>
  <c r="J518" i="33"/>
  <c r="J519" i="33"/>
  <c r="J520" i="33"/>
  <c r="J521" i="33"/>
  <c r="J522" i="33"/>
  <c r="J523" i="33"/>
  <c r="J524" i="33"/>
  <c r="J525" i="33"/>
  <c r="J526" i="33"/>
  <c r="J527" i="33"/>
  <c r="J528" i="33"/>
  <c r="J529" i="33"/>
  <c r="J530" i="33"/>
  <c r="J531" i="33"/>
  <c r="J532" i="33"/>
  <c r="J114" i="33"/>
  <c r="J115" i="33"/>
  <c r="J116" i="33"/>
  <c r="J117" i="33"/>
  <c r="J118" i="33"/>
  <c r="J119" i="33"/>
  <c r="J120" i="33"/>
  <c r="J121" i="33"/>
  <c r="J122" i="33"/>
  <c r="J123" i="33"/>
  <c r="J124" i="33"/>
  <c r="J125" i="33"/>
  <c r="J126" i="33"/>
  <c r="J127" i="33"/>
  <c r="J128" i="33"/>
  <c r="J129" i="33"/>
  <c r="J130" i="33"/>
  <c r="J131" i="33"/>
  <c r="J132" i="33"/>
  <c r="J133" i="33"/>
  <c r="J134" i="33"/>
  <c r="J533" i="33"/>
  <c r="J534" i="33"/>
  <c r="J535" i="33"/>
  <c r="J536" i="33"/>
  <c r="J537" i="33"/>
  <c r="J538" i="33"/>
  <c r="J539" i="33"/>
  <c r="J540" i="33"/>
  <c r="J541" i="33"/>
  <c r="J542" i="33"/>
  <c r="J543" i="33"/>
  <c r="J544" i="33"/>
  <c r="J135" i="33"/>
  <c r="J136" i="33"/>
  <c r="J137" i="33"/>
  <c r="J138" i="33"/>
  <c r="J139" i="33"/>
  <c r="J545" i="33"/>
  <c r="J546" i="33"/>
  <c r="J547" i="33"/>
  <c r="J548" i="33"/>
  <c r="J549" i="33"/>
  <c r="J550" i="33"/>
  <c r="J551" i="33"/>
  <c r="J552" i="33"/>
  <c r="J553" i="33"/>
  <c r="J554" i="33"/>
  <c r="J555" i="33"/>
  <c r="J556" i="33"/>
  <c r="J557" i="33"/>
  <c r="J558" i="33"/>
  <c r="J559" i="33"/>
  <c r="J560" i="33"/>
  <c r="J561" i="33"/>
  <c r="J562" i="33"/>
  <c r="J140" i="33"/>
  <c r="J141" i="33"/>
  <c r="J142" i="33"/>
  <c r="J143" i="33"/>
  <c r="J144" i="33"/>
  <c r="J145" i="33"/>
  <c r="J146" i="33"/>
  <c r="J147" i="33"/>
  <c r="J148" i="33"/>
  <c r="J149" i="33"/>
  <c r="J150" i="33"/>
  <c r="J151" i="33"/>
  <c r="J152" i="33"/>
  <c r="J153" i="33"/>
  <c r="J154" i="33"/>
  <c r="J155" i="33"/>
  <c r="J563" i="33"/>
  <c r="J564" i="33"/>
  <c r="J565" i="33"/>
  <c r="J566" i="33"/>
  <c r="J567" i="33"/>
  <c r="J568" i="33"/>
  <c r="J569" i="33"/>
  <c r="J570" i="33"/>
  <c r="J571" i="33"/>
  <c r="J572" i="33"/>
  <c r="J573" i="33"/>
  <c r="J574" i="33"/>
  <c r="J575" i="33"/>
  <c r="J156" i="33"/>
  <c r="J157" i="33"/>
  <c r="J158" i="33"/>
  <c r="J159" i="33"/>
  <c r="J576" i="33"/>
  <c r="J577" i="33"/>
  <c r="J578" i="33"/>
  <c r="J579" i="33"/>
  <c r="J580" i="33"/>
  <c r="J581" i="33"/>
  <c r="J582" i="33"/>
  <c r="J583" i="33"/>
  <c r="J584" i="33"/>
  <c r="J585" i="33"/>
  <c r="J586" i="33"/>
  <c r="J587" i="33"/>
  <c r="J588" i="33"/>
  <c r="J160" i="33"/>
  <c r="J161" i="33"/>
  <c r="J162" i="33"/>
  <c r="J589" i="33"/>
  <c r="J590" i="33"/>
  <c r="J591" i="33"/>
  <c r="J592" i="33"/>
  <c r="J593" i="33"/>
  <c r="J594" i="33"/>
  <c r="J595" i="33"/>
  <c r="J596" i="33"/>
  <c r="J597" i="33"/>
  <c r="J598" i="33"/>
  <c r="J599" i="33"/>
  <c r="J600" i="33"/>
  <c r="J601" i="33"/>
  <c r="J602" i="33"/>
  <c r="J603" i="33"/>
  <c r="J604" i="33"/>
  <c r="J605" i="33"/>
  <c r="J606" i="33"/>
  <c r="J607" i="33"/>
  <c r="J608" i="33"/>
  <c r="J609" i="33"/>
  <c r="J610" i="33"/>
  <c r="J611" i="33"/>
  <c r="J163" i="33"/>
  <c r="J164" i="33"/>
  <c r="J165" i="33"/>
  <c r="J166" i="33"/>
  <c r="J167" i="33"/>
  <c r="J168" i="33"/>
  <c r="J169" i="33"/>
  <c r="J170" i="33"/>
  <c r="J171" i="33"/>
  <c r="J172" i="33"/>
  <c r="J612" i="33"/>
  <c r="J613" i="33"/>
  <c r="J614" i="33"/>
  <c r="J615" i="33"/>
  <c r="J616" i="33"/>
  <c r="J617" i="33"/>
  <c r="J618" i="33"/>
  <c r="J619" i="33"/>
  <c r="J620" i="33"/>
  <c r="J621" i="33"/>
  <c r="J622" i="33"/>
  <c r="J623" i="33"/>
  <c r="J624" i="33"/>
  <c r="J625" i="33"/>
  <c r="J626" i="33"/>
  <c r="J627" i="33"/>
  <c r="J628" i="33"/>
  <c r="J629" i="33"/>
  <c r="J630" i="33"/>
  <c r="J631" i="33"/>
  <c r="J173" i="33"/>
  <c r="J174" i="33"/>
  <c r="J175" i="33"/>
  <c r="J176" i="33"/>
  <c r="J177" i="33"/>
  <c r="J178" i="33"/>
  <c r="J179" i="33"/>
  <c r="J180" i="33"/>
  <c r="J632" i="33"/>
  <c r="J633" i="33"/>
  <c r="J634" i="33"/>
  <c r="J635" i="33"/>
  <c r="J636" i="33"/>
  <c r="J637" i="33"/>
  <c r="J638" i="33"/>
  <c r="J639" i="33"/>
  <c r="J181" i="33"/>
  <c r="J640" i="33"/>
  <c r="J641" i="33"/>
  <c r="J642" i="33"/>
  <c r="J643" i="33"/>
  <c r="J644" i="33"/>
  <c r="J645" i="33"/>
  <c r="J646" i="33"/>
  <c r="J647" i="33"/>
  <c r="J648" i="33"/>
  <c r="J649" i="33"/>
  <c r="J650" i="33"/>
  <c r="J651" i="33"/>
  <c r="J652" i="33"/>
  <c r="J653" i="33"/>
  <c r="J654" i="33"/>
  <c r="J655" i="33"/>
  <c r="J656" i="33"/>
  <c r="J657" i="33"/>
  <c r="J658" i="33"/>
  <c r="J659" i="33"/>
  <c r="J660" i="33"/>
  <c r="J661" i="33"/>
  <c r="J662" i="33"/>
  <c r="J663" i="33"/>
  <c r="J664" i="33"/>
  <c r="J182" i="33"/>
  <c r="J183" i="33"/>
  <c r="J184" i="33"/>
  <c r="J185" i="33"/>
  <c r="J186" i="33"/>
  <c r="J187" i="33"/>
  <c r="J188" i="33"/>
  <c r="J189" i="33"/>
  <c r="J190" i="33"/>
  <c r="J191" i="33"/>
  <c r="J192" i="33"/>
  <c r="J193" i="33"/>
  <c r="J194" i="33"/>
  <c r="J195" i="33"/>
  <c r="J196" i="33"/>
  <c r="J197" i="33"/>
  <c r="J198" i="33"/>
  <c r="J199" i="33"/>
  <c r="J200" i="33"/>
  <c r="J665" i="33"/>
  <c r="J666" i="33"/>
  <c r="J667" i="33"/>
  <c r="J668" i="33"/>
  <c r="J669" i="33"/>
  <c r="J670" i="33"/>
  <c r="J671" i="33"/>
  <c r="J672" i="33"/>
  <c r="J673" i="33"/>
  <c r="J674" i="33"/>
  <c r="J675" i="33"/>
  <c r="J676" i="33"/>
  <c r="J677" i="33"/>
  <c r="J678" i="33"/>
  <c r="J201" i="33"/>
  <c r="J202" i="33"/>
  <c r="J203" i="33"/>
  <c r="J204" i="33"/>
  <c r="J205" i="33"/>
  <c r="J206" i="33"/>
  <c r="J207" i="33"/>
  <c r="J208" i="33"/>
  <c r="J209" i="33"/>
  <c r="J679" i="33"/>
  <c r="J680" i="33"/>
  <c r="J681" i="33"/>
  <c r="J682" i="33"/>
  <c r="J683" i="33"/>
  <c r="J684" i="33"/>
  <c r="J685" i="33"/>
  <c r="J686" i="33"/>
  <c r="J687" i="33"/>
  <c r="J688" i="33"/>
  <c r="J689" i="33"/>
  <c r="J690" i="33"/>
  <c r="J691" i="33"/>
  <c r="J692" i="33"/>
  <c r="J693" i="33"/>
  <c r="J694" i="33"/>
  <c r="J695" i="33"/>
  <c r="J696" i="33"/>
  <c r="J697" i="33"/>
  <c r="J698" i="33"/>
  <c r="J699" i="33"/>
  <c r="J210" i="33"/>
  <c r="J211" i="33"/>
  <c r="J212" i="33"/>
  <c r="J213" i="33"/>
  <c r="J214" i="33"/>
  <c r="J215" i="33"/>
  <c r="J216" i="33"/>
  <c r="J700" i="33"/>
  <c r="J701" i="33"/>
  <c r="J702" i="33"/>
  <c r="J217" i="33"/>
  <c r="J218" i="33"/>
  <c r="J219" i="33"/>
  <c r="J220" i="33"/>
  <c r="J221" i="33"/>
  <c r="J222" i="33"/>
  <c r="J223" i="33"/>
  <c r="J224" i="33"/>
  <c r="J225" i="33"/>
  <c r="J226" i="33"/>
  <c r="J227" i="33"/>
  <c r="J228" i="33"/>
  <c r="J229" i="33"/>
  <c r="J230" i="33"/>
  <c r="J231" i="33"/>
  <c r="J232" i="33"/>
  <c r="J233" i="33"/>
  <c r="J234" i="33"/>
  <c r="J235" i="33"/>
  <c r="J236" i="33"/>
  <c r="J237" i="33"/>
  <c r="J238" i="33"/>
  <c r="J239" i="33"/>
  <c r="J240" i="33"/>
  <c r="J241" i="33"/>
  <c r="J242" i="33"/>
  <c r="J243" i="33"/>
  <c r="J244" i="33"/>
  <c r="J245" i="33"/>
  <c r="J246" i="33"/>
  <c r="J247" i="33"/>
  <c r="J248" i="33"/>
  <c r="J249" i="33"/>
  <c r="J250" i="33"/>
  <c r="J251" i="33"/>
  <c r="C95" i="7" l="1"/>
  <c r="E95" i="7"/>
  <c r="G95" i="7"/>
  <c r="I95" i="7"/>
  <c r="W44" i="7" l="1"/>
  <c r="W60" i="7" s="1"/>
  <c r="N60" i="7"/>
  <c r="O60" i="7"/>
  <c r="P60" i="7"/>
  <c r="Q60" i="7"/>
  <c r="R60" i="7"/>
  <c r="S60" i="7"/>
  <c r="T60" i="7"/>
  <c r="U60" i="7"/>
  <c r="V60" i="7"/>
  <c r="J45" i="7"/>
  <c r="J61" i="7" s="1"/>
  <c r="C61" i="7"/>
  <c r="D61" i="7"/>
  <c r="E61" i="7"/>
  <c r="F61" i="7"/>
  <c r="G61" i="7"/>
  <c r="H61" i="7"/>
  <c r="I61" i="7"/>
  <c r="E5" i="9" l="1"/>
  <c r="E3" i="9"/>
  <c r="E4" i="9"/>
  <c r="E6" i="9"/>
  <c r="A217" i="33"/>
  <c r="G5" i="9" l="1"/>
  <c r="H5" i="9" s="1"/>
  <c r="G6" i="9"/>
  <c r="H6" i="9" s="1"/>
  <c r="G4" i="9"/>
  <c r="H4" i="9" s="1"/>
  <c r="G3" i="9"/>
  <c r="H3" i="9" s="1"/>
  <c r="A232" i="33"/>
  <c r="A233" i="33"/>
  <c r="A250" i="33"/>
  <c r="A251" i="33"/>
  <c r="A219" i="33"/>
  <c r="A220" i="33"/>
  <c r="A221" i="33"/>
  <c r="A222" i="33"/>
  <c r="A238" i="33"/>
  <c r="A239" i="33"/>
  <c r="A240" i="33"/>
  <c r="A241" i="33"/>
  <c r="A242" i="33"/>
  <c r="A236" i="33"/>
  <c r="A237" i="33"/>
  <c r="A218" i="33"/>
  <c r="A243" i="33"/>
  <c r="A244" i="33"/>
  <c r="A245" i="33"/>
  <c r="A246" i="33"/>
  <c r="A247" i="33"/>
  <c r="A248" i="33"/>
  <c r="A249" i="33"/>
  <c r="A225" i="33"/>
  <c r="A226" i="33"/>
  <c r="A227" i="33"/>
  <c r="A223" i="33"/>
  <c r="A224" i="33"/>
  <c r="A234" i="33"/>
  <c r="A235" i="33"/>
  <c r="A228" i="33"/>
  <c r="A229" i="33"/>
  <c r="A230" i="33"/>
  <c r="A231" i="33"/>
  <c r="B232" i="33"/>
  <c r="B233" i="33"/>
  <c r="B250" i="33"/>
  <c r="B251" i="33"/>
  <c r="B219" i="33"/>
  <c r="B220" i="33"/>
  <c r="B221" i="33"/>
  <c r="B222" i="33"/>
  <c r="B238" i="33"/>
  <c r="B239" i="33"/>
  <c r="B240" i="33"/>
  <c r="B241" i="33"/>
  <c r="B242" i="33"/>
  <c r="B217" i="33"/>
  <c r="B236" i="33"/>
  <c r="B237" i="33"/>
  <c r="B218" i="33"/>
  <c r="B243" i="33"/>
  <c r="B244" i="33"/>
  <c r="B245" i="33"/>
  <c r="B246" i="33"/>
  <c r="B247" i="33"/>
  <c r="B248" i="33"/>
  <c r="B249" i="33"/>
  <c r="B225" i="33"/>
  <c r="B226" i="33"/>
  <c r="B227" i="33"/>
  <c r="B223" i="33"/>
  <c r="B224" i="33"/>
  <c r="B234" i="33"/>
  <c r="B235" i="33"/>
  <c r="B228" i="33"/>
  <c r="B229" i="33"/>
  <c r="B230" i="33"/>
  <c r="B231" i="33"/>
  <c r="E6" i="23" l="1"/>
  <c r="E2" i="23"/>
  <c r="E4" i="23"/>
  <c r="E5" i="23"/>
  <c r="E17" i="23"/>
  <c r="E11" i="23"/>
  <c r="E8" i="23"/>
  <c r="E19" i="23"/>
  <c r="E13" i="23"/>
  <c r="E9" i="23"/>
  <c r="E16" i="23"/>
  <c r="E7" i="23"/>
  <c r="E3" i="23"/>
  <c r="E10" i="23"/>
  <c r="E18" i="23"/>
  <c r="E21" i="23"/>
  <c r="E15" i="23"/>
  <c r="E22" i="23"/>
  <c r="E12" i="23"/>
  <c r="E14" i="23"/>
  <c r="E20" i="23"/>
  <c r="A156" i="33"/>
  <c r="A157" i="33"/>
  <c r="A159" i="33"/>
  <c r="A158" i="33"/>
  <c r="A213" i="33"/>
  <c r="A211" i="33"/>
  <c r="A210" i="33"/>
  <c r="A216" i="33"/>
  <c r="A215" i="33"/>
  <c r="A214" i="33"/>
  <c r="A212" i="33"/>
  <c r="A46" i="33"/>
  <c r="A50" i="33"/>
  <c r="A58" i="33"/>
  <c r="A41" i="33"/>
  <c r="A67" i="33"/>
  <c r="A63" i="33"/>
  <c r="A62" i="33"/>
  <c r="A47" i="33"/>
  <c r="A44" i="33"/>
  <c r="A55" i="33"/>
  <c r="A54" i="33"/>
  <c r="A59" i="33"/>
  <c r="A61" i="33"/>
  <c r="A68" i="33"/>
  <c r="A48" i="33"/>
  <c r="A43" i="33"/>
  <c r="A56" i="33"/>
  <c r="A52" i="33"/>
  <c r="A57" i="33"/>
  <c r="A42" i="33"/>
  <c r="A66" i="33"/>
  <c r="A45" i="33"/>
  <c r="A60" i="33"/>
  <c r="A49" i="33"/>
  <c r="A53" i="33"/>
  <c r="A65" i="33"/>
  <c r="A51" i="33"/>
  <c r="A64" i="33"/>
  <c r="A40" i="33"/>
  <c r="A138" i="33"/>
  <c r="A136" i="33"/>
  <c r="A137" i="33"/>
  <c r="A135" i="33"/>
  <c r="A139" i="33"/>
  <c r="A73" i="33"/>
  <c r="A74" i="33"/>
  <c r="A69" i="33"/>
  <c r="A71" i="33"/>
  <c r="A70" i="33"/>
  <c r="A72" i="33"/>
  <c r="A197" i="33"/>
  <c r="A190" i="33"/>
  <c r="A198" i="33"/>
  <c r="A199" i="33"/>
  <c r="A193" i="33"/>
  <c r="A189" i="33"/>
  <c r="A186" i="33"/>
  <c r="A192" i="33"/>
  <c r="A185" i="33"/>
  <c r="A191" i="33"/>
  <c r="A195" i="33"/>
  <c r="A196" i="33"/>
  <c r="A188" i="33"/>
  <c r="A182" i="33"/>
  <c r="A194" i="33"/>
  <c r="A184" i="33"/>
  <c r="A183" i="33"/>
  <c r="A187" i="33"/>
  <c r="A200" i="33"/>
  <c r="A10" i="33"/>
  <c r="A11" i="33"/>
  <c r="A12" i="33"/>
  <c r="A84" i="33"/>
  <c r="A93" i="33"/>
  <c r="A86" i="33"/>
  <c r="A81" i="33"/>
  <c r="A80" i="33"/>
  <c r="A89" i="33"/>
  <c r="A87" i="33"/>
  <c r="A88" i="33"/>
  <c r="A83" i="33"/>
  <c r="A82" i="33"/>
  <c r="A85" i="33"/>
  <c r="A91" i="33"/>
  <c r="A90" i="33"/>
  <c r="A92" i="33"/>
  <c r="A174" i="33"/>
  <c r="A179" i="33"/>
  <c r="A176" i="33"/>
  <c r="A177" i="33"/>
  <c r="A178" i="33"/>
  <c r="A173" i="33"/>
  <c r="A180" i="33"/>
  <c r="A175" i="33"/>
  <c r="A17" i="33"/>
  <c r="A19" i="33"/>
  <c r="A29" i="33"/>
  <c r="A25" i="33"/>
  <c r="A15" i="33"/>
  <c r="A14" i="33"/>
  <c r="A13" i="33"/>
  <c r="A20" i="33"/>
  <c r="A18" i="33"/>
  <c r="A24" i="33"/>
  <c r="A21" i="33"/>
  <c r="A23" i="33"/>
  <c r="A16" i="33"/>
  <c r="A26" i="33"/>
  <c r="A27" i="33"/>
  <c r="A22" i="33"/>
  <c r="A28" i="33"/>
  <c r="A38" i="33"/>
  <c r="A35" i="33"/>
  <c r="A32" i="33"/>
  <c r="A34" i="33"/>
  <c r="A31" i="33"/>
  <c r="A33" i="33"/>
  <c r="A30" i="33"/>
  <c r="A36" i="33"/>
  <c r="A39" i="33"/>
  <c r="A37" i="33"/>
  <c r="A201" i="33"/>
  <c r="A205" i="33"/>
  <c r="A202" i="33"/>
  <c r="A209" i="33"/>
  <c r="A204" i="33"/>
  <c r="A203" i="33"/>
  <c r="A206" i="33"/>
  <c r="A208" i="33"/>
  <c r="A207" i="33"/>
  <c r="A8" i="33"/>
  <c r="A5" i="33"/>
  <c r="A9" i="33"/>
  <c r="A6" i="33"/>
  <c r="A7" i="33"/>
  <c r="A4" i="33"/>
  <c r="A128" i="33"/>
  <c r="A129" i="33"/>
  <c r="A122" i="33"/>
  <c r="A130" i="33"/>
  <c r="A124" i="33"/>
  <c r="A125" i="33"/>
  <c r="A133" i="33"/>
  <c r="A131" i="33"/>
  <c r="A114" i="33"/>
  <c r="A132" i="33"/>
  <c r="A134" i="33"/>
  <c r="A115" i="33"/>
  <c r="A116" i="33"/>
  <c r="A119" i="33"/>
  <c r="A127" i="33"/>
  <c r="A117" i="33"/>
  <c r="A120" i="33"/>
  <c r="A118" i="33"/>
  <c r="A121" i="33"/>
  <c r="A126" i="33"/>
  <c r="A123" i="33"/>
  <c r="A181" i="33"/>
  <c r="A2" i="33"/>
  <c r="A3" i="33"/>
  <c r="A77" i="33"/>
  <c r="A79" i="33"/>
  <c r="A75" i="33"/>
  <c r="A78" i="33"/>
  <c r="A76" i="33"/>
  <c r="A101" i="33"/>
  <c r="A94" i="33"/>
  <c r="A113" i="33"/>
  <c r="A98" i="33"/>
  <c r="A109" i="33"/>
  <c r="A105" i="33"/>
  <c r="A104" i="33"/>
  <c r="A112" i="33"/>
  <c r="A107" i="33"/>
  <c r="A108" i="33"/>
  <c r="A110" i="33"/>
  <c r="A96" i="33"/>
  <c r="A95" i="33"/>
  <c r="A97" i="33"/>
  <c r="A102" i="33"/>
  <c r="A99" i="33"/>
  <c r="A111" i="33"/>
  <c r="A100" i="33"/>
  <c r="A106" i="33"/>
  <c r="A103" i="33"/>
  <c r="A171" i="33"/>
  <c r="A167" i="33"/>
  <c r="A168" i="33"/>
  <c r="A170" i="33"/>
  <c r="A164" i="33"/>
  <c r="A172" i="33"/>
  <c r="A165" i="33"/>
  <c r="A169" i="33"/>
  <c r="A166" i="33"/>
  <c r="A163" i="33"/>
  <c r="A160" i="33"/>
  <c r="A162" i="33"/>
  <c r="A161" i="33"/>
  <c r="A154" i="33"/>
  <c r="A144" i="33"/>
  <c r="A140" i="33"/>
  <c r="A150" i="33"/>
  <c r="A145" i="33"/>
  <c r="A155" i="33"/>
  <c r="A151" i="33"/>
  <c r="A142" i="33"/>
  <c r="A147" i="33"/>
  <c r="A143" i="33"/>
  <c r="A152" i="33"/>
  <c r="A153" i="33"/>
  <c r="A146" i="33"/>
  <c r="A149" i="33"/>
  <c r="A141" i="33"/>
  <c r="A148" i="33"/>
  <c r="A679" i="33"/>
  <c r="A680" i="33"/>
  <c r="A533" i="33"/>
  <c r="A342" i="33"/>
  <c r="A343" i="33"/>
  <c r="A344" i="33"/>
  <c r="A345" i="33"/>
  <c r="A346" i="33"/>
  <c r="A347" i="33"/>
  <c r="A348" i="33"/>
  <c r="A640" i="33"/>
  <c r="A641" i="33"/>
  <c r="A642" i="33"/>
  <c r="A402" i="33"/>
  <c r="A403" i="33"/>
  <c r="A404" i="33"/>
  <c r="A405" i="33"/>
  <c r="A406" i="33"/>
  <c r="A285" i="33"/>
  <c r="A286" i="33"/>
  <c r="A287" i="33"/>
  <c r="A288" i="33"/>
  <c r="A289" i="33"/>
  <c r="A290" i="33"/>
  <c r="A291" i="33"/>
  <c r="A665" i="33"/>
  <c r="A666" i="33"/>
  <c r="A667" i="33"/>
  <c r="A264" i="33"/>
  <c r="A493" i="33"/>
  <c r="A494" i="33"/>
  <c r="A495" i="33"/>
  <c r="A496" i="33"/>
  <c r="A632" i="33"/>
  <c r="A385" i="33"/>
  <c r="A386" i="33"/>
  <c r="A387" i="33"/>
  <c r="A388" i="33"/>
  <c r="A389" i="33"/>
  <c r="A451" i="33"/>
  <c r="A452" i="33"/>
  <c r="A453" i="33"/>
  <c r="A454" i="33"/>
  <c r="A455" i="33"/>
  <c r="A456" i="33"/>
  <c r="A457" i="33"/>
  <c r="A458" i="33"/>
  <c r="A459" i="33"/>
  <c r="A460" i="33"/>
  <c r="A461" i="33"/>
  <c r="A462" i="33"/>
  <c r="A463" i="33"/>
  <c r="A464" i="33"/>
  <c r="A465" i="33"/>
  <c r="A466" i="33"/>
  <c r="A589" i="33"/>
  <c r="A590" i="33"/>
  <c r="A591" i="33"/>
  <c r="A592" i="33"/>
  <c r="A593" i="33"/>
  <c r="A594" i="33"/>
  <c r="A595" i="33"/>
  <c r="A596" i="33"/>
  <c r="A597" i="33"/>
  <c r="A576" i="33"/>
  <c r="A577" i="33"/>
  <c r="A545" i="33"/>
  <c r="A546" i="33"/>
  <c r="A547" i="33"/>
  <c r="A681" i="33"/>
  <c r="A534" i="33"/>
  <c r="A535" i="33"/>
  <c r="A643" i="33"/>
  <c r="A612" i="33"/>
  <c r="A564" i="33"/>
  <c r="A565" i="33"/>
  <c r="A566" i="33"/>
  <c r="A567" i="33"/>
  <c r="A568" i="33"/>
  <c r="A569" i="33"/>
  <c r="A570" i="33"/>
  <c r="A571" i="33"/>
  <c r="A682" i="33"/>
  <c r="A683" i="33"/>
  <c r="A684" i="33"/>
  <c r="A685" i="33"/>
  <c r="A686" i="33"/>
  <c r="A687" i="33"/>
  <c r="A688" i="33"/>
  <c r="A689" i="33"/>
  <c r="A690" i="33"/>
  <c r="A691" i="33"/>
  <c r="A692" i="33"/>
  <c r="A536" i="33"/>
  <c r="A537" i="33"/>
  <c r="A538" i="33"/>
  <c r="A539" i="33"/>
  <c r="A540" i="33"/>
  <c r="A541" i="33"/>
  <c r="A542" i="33"/>
  <c r="A349" i="33"/>
  <c r="A350" i="33"/>
  <c r="A351" i="33"/>
  <c r="A352" i="33"/>
  <c r="A353" i="33"/>
  <c r="A354" i="33"/>
  <c r="A355" i="33"/>
  <c r="A356" i="33"/>
  <c r="A644" i="33"/>
  <c r="A645" i="33"/>
  <c r="A646" i="33"/>
  <c r="A647" i="33"/>
  <c r="A648" i="33"/>
  <c r="A649" i="33"/>
  <c r="A650" i="33"/>
  <c r="A651" i="33"/>
  <c r="A652" i="33"/>
  <c r="A653" i="33"/>
  <c r="A654" i="33"/>
  <c r="A655" i="33"/>
  <c r="A281" i="33"/>
  <c r="A407" i="33"/>
  <c r="A408" i="33"/>
  <c r="A409" i="33"/>
  <c r="A410" i="33"/>
  <c r="A411" i="33"/>
  <c r="A412" i="33"/>
  <c r="A413" i="33"/>
  <c r="A414" i="33"/>
  <c r="A415" i="33"/>
  <c r="A416" i="33"/>
  <c r="A417" i="33"/>
  <c r="A418" i="33"/>
  <c r="A419" i="33"/>
  <c r="A420" i="33"/>
  <c r="A421" i="33"/>
  <c r="A422" i="33"/>
  <c r="A423" i="33"/>
  <c r="A424" i="33"/>
  <c r="A425" i="33"/>
  <c r="A426" i="33"/>
  <c r="A427" i="33"/>
  <c r="A428" i="33"/>
  <c r="A429" i="33"/>
  <c r="A430" i="33"/>
  <c r="A431" i="33"/>
  <c r="A432" i="33"/>
  <c r="A433" i="33"/>
  <c r="A434" i="33"/>
  <c r="A435" i="33"/>
  <c r="A613" i="33"/>
  <c r="A614" i="33"/>
  <c r="A615" i="33"/>
  <c r="A616" i="33"/>
  <c r="A617" i="33"/>
  <c r="A618" i="33"/>
  <c r="A619" i="33"/>
  <c r="A620" i="33"/>
  <c r="A621" i="33"/>
  <c r="A622" i="33"/>
  <c r="A623" i="33"/>
  <c r="A624" i="33"/>
  <c r="A625" i="33"/>
  <c r="A292" i="33"/>
  <c r="A293" i="33"/>
  <c r="A294" i="33"/>
  <c r="A295" i="33"/>
  <c r="A296" i="33"/>
  <c r="A297" i="33"/>
  <c r="A298" i="33"/>
  <c r="A299" i="33"/>
  <c r="A300" i="33"/>
  <c r="A301" i="33"/>
  <c r="A302" i="33"/>
  <c r="A303" i="33"/>
  <c r="A314" i="33"/>
  <c r="A315" i="33"/>
  <c r="A316" i="33"/>
  <c r="A668" i="33"/>
  <c r="A669" i="33"/>
  <c r="A670" i="33"/>
  <c r="A671" i="33"/>
  <c r="A672" i="33"/>
  <c r="A265" i="33"/>
  <c r="A266" i="33"/>
  <c r="A267" i="33"/>
  <c r="A268" i="33"/>
  <c r="A269" i="33"/>
  <c r="A270" i="33"/>
  <c r="A271" i="33"/>
  <c r="A497" i="33"/>
  <c r="A498" i="33"/>
  <c r="A499" i="33"/>
  <c r="A500" i="33"/>
  <c r="A501" i="33"/>
  <c r="A502" i="33"/>
  <c r="A503" i="33"/>
  <c r="A504" i="33"/>
  <c r="A505" i="33"/>
  <c r="A506" i="33"/>
  <c r="A507" i="33"/>
  <c r="A508" i="33"/>
  <c r="A509" i="33"/>
  <c r="A510" i="33"/>
  <c r="A511" i="33"/>
  <c r="A633" i="33"/>
  <c r="A634" i="33"/>
  <c r="A635" i="33"/>
  <c r="A636" i="33"/>
  <c r="A252" i="33"/>
  <c r="A253" i="33"/>
  <c r="A254" i="33"/>
  <c r="A255" i="33"/>
  <c r="A256" i="33"/>
  <c r="A257" i="33"/>
  <c r="A258" i="33"/>
  <c r="A259" i="33"/>
  <c r="A260" i="33"/>
  <c r="A261" i="33"/>
  <c r="A390" i="33"/>
  <c r="A391" i="33"/>
  <c r="A467" i="33"/>
  <c r="A468" i="33"/>
  <c r="A469" i="33"/>
  <c r="A470" i="33"/>
  <c r="A471" i="33"/>
  <c r="A472" i="33"/>
  <c r="A473" i="33"/>
  <c r="A474" i="33"/>
  <c r="A475" i="33"/>
  <c r="A476" i="33"/>
  <c r="A598" i="33"/>
  <c r="A599" i="33"/>
  <c r="A600" i="33"/>
  <c r="A601" i="33"/>
  <c r="A602" i="33"/>
  <c r="A603" i="33"/>
  <c r="A604" i="33"/>
  <c r="A605" i="33"/>
  <c r="A578" i="33"/>
  <c r="A579" i="33"/>
  <c r="A580" i="33"/>
  <c r="A581" i="33"/>
  <c r="A582" i="33"/>
  <c r="A583" i="33"/>
  <c r="A584" i="33"/>
  <c r="A585" i="33"/>
  <c r="A548" i="33"/>
  <c r="A549" i="33"/>
  <c r="A550" i="33"/>
  <c r="A551" i="33"/>
  <c r="A552" i="33"/>
  <c r="A553" i="33"/>
  <c r="A572" i="33"/>
  <c r="A573" i="33"/>
  <c r="A574" i="33"/>
  <c r="A575" i="33"/>
  <c r="A693" i="33"/>
  <c r="A694" i="33"/>
  <c r="A695" i="33"/>
  <c r="A696" i="33"/>
  <c r="A697" i="33"/>
  <c r="A698" i="33"/>
  <c r="A699" i="33"/>
  <c r="A320" i="33"/>
  <c r="A321" i="33"/>
  <c r="A322" i="33"/>
  <c r="A323" i="33"/>
  <c r="A324" i="33"/>
  <c r="A325" i="33"/>
  <c r="A326" i="33"/>
  <c r="A327" i="33"/>
  <c r="A328" i="33"/>
  <c r="A329" i="33"/>
  <c r="A330" i="33"/>
  <c r="A331" i="33"/>
  <c r="A332" i="33"/>
  <c r="A333" i="33"/>
  <c r="A334" i="33"/>
  <c r="A335" i="33"/>
  <c r="A336" i="33"/>
  <c r="A337" i="33"/>
  <c r="A338" i="33"/>
  <c r="A339" i="33"/>
  <c r="A340" i="33"/>
  <c r="A341" i="33"/>
  <c r="A543" i="33"/>
  <c r="A544" i="33"/>
  <c r="A357" i="33"/>
  <c r="A358" i="33"/>
  <c r="A359" i="33"/>
  <c r="A360" i="33"/>
  <c r="A361" i="33"/>
  <c r="A362" i="33"/>
  <c r="A363" i="33"/>
  <c r="A364" i="33"/>
  <c r="A365" i="33"/>
  <c r="A366" i="33"/>
  <c r="A367" i="33"/>
  <c r="A368" i="33"/>
  <c r="A369" i="33"/>
  <c r="A370" i="33"/>
  <c r="A371" i="33"/>
  <c r="A372" i="33"/>
  <c r="A373" i="33"/>
  <c r="A374" i="33"/>
  <c r="A375" i="33"/>
  <c r="A376" i="33"/>
  <c r="A377" i="33"/>
  <c r="A378" i="33"/>
  <c r="A379" i="33"/>
  <c r="A380" i="33"/>
  <c r="A381" i="33"/>
  <c r="A382" i="33"/>
  <c r="A383" i="33"/>
  <c r="A384" i="33"/>
  <c r="A656" i="33"/>
  <c r="A657" i="33"/>
  <c r="A658" i="33"/>
  <c r="A659" i="33"/>
  <c r="A660" i="33"/>
  <c r="A661" i="33"/>
  <c r="A662" i="33"/>
  <c r="A663" i="33"/>
  <c r="A664" i="33"/>
  <c r="A700" i="33"/>
  <c r="A701" i="33"/>
  <c r="A702" i="33"/>
  <c r="A282" i="33"/>
  <c r="A283" i="33"/>
  <c r="A284" i="33"/>
  <c r="A436" i="33"/>
  <c r="A437" i="33"/>
  <c r="A438" i="33"/>
  <c r="A439" i="33"/>
  <c r="A440" i="33"/>
  <c r="A441" i="33"/>
  <c r="A442" i="33"/>
  <c r="A443" i="33"/>
  <c r="A444" i="33"/>
  <c r="A445" i="33"/>
  <c r="A446" i="33"/>
  <c r="A447" i="33"/>
  <c r="A448" i="33"/>
  <c r="A449" i="33"/>
  <c r="A450" i="33"/>
  <c r="A626" i="33"/>
  <c r="A627" i="33"/>
  <c r="A628" i="33"/>
  <c r="A629" i="33"/>
  <c r="A630" i="33"/>
  <c r="A631" i="33"/>
  <c r="A304" i="33"/>
  <c r="A305" i="33"/>
  <c r="A306" i="33"/>
  <c r="A307" i="33"/>
  <c r="A308" i="33"/>
  <c r="A309" i="33"/>
  <c r="A310" i="33"/>
  <c r="A311" i="33"/>
  <c r="A312" i="33"/>
  <c r="A313" i="33"/>
  <c r="A317" i="33"/>
  <c r="A318" i="33"/>
  <c r="A319" i="33"/>
  <c r="A673" i="33"/>
  <c r="A674" i="33"/>
  <c r="A675" i="33"/>
  <c r="A676" i="33"/>
  <c r="A677" i="33"/>
  <c r="A678" i="33"/>
  <c r="A272" i="33"/>
  <c r="A273" i="33"/>
  <c r="A274" i="33"/>
  <c r="A275" i="33"/>
  <c r="A276" i="33"/>
  <c r="A277" i="33"/>
  <c r="A278" i="33"/>
  <c r="A279" i="33"/>
  <c r="A280" i="33"/>
  <c r="A512" i="33"/>
  <c r="A513" i="33"/>
  <c r="A514" i="33"/>
  <c r="A515" i="33"/>
  <c r="A516" i="33"/>
  <c r="A517" i="33"/>
  <c r="A518" i="33"/>
  <c r="A519" i="33"/>
  <c r="A520" i="33"/>
  <c r="A521" i="33"/>
  <c r="A522" i="33"/>
  <c r="A523" i="33"/>
  <c r="A524" i="33"/>
  <c r="A525" i="33"/>
  <c r="A526" i="33"/>
  <c r="A527" i="33"/>
  <c r="A528" i="33"/>
  <c r="A529" i="33"/>
  <c r="A530" i="33"/>
  <c r="A531" i="33"/>
  <c r="A532" i="33"/>
  <c r="A637" i="33"/>
  <c r="A638" i="33"/>
  <c r="A639" i="33"/>
  <c r="A262" i="33"/>
  <c r="A263" i="33"/>
  <c r="A392" i="33"/>
  <c r="A393" i="33"/>
  <c r="A394" i="33"/>
  <c r="A395" i="33"/>
  <c r="A396" i="33"/>
  <c r="A397" i="33"/>
  <c r="A398" i="33"/>
  <c r="A399" i="33"/>
  <c r="A400" i="33"/>
  <c r="A401" i="33"/>
  <c r="A477" i="33"/>
  <c r="A478" i="33"/>
  <c r="A479" i="33"/>
  <c r="A480" i="33"/>
  <c r="A481" i="33"/>
  <c r="A482" i="33"/>
  <c r="A483" i="33"/>
  <c r="A484" i="33"/>
  <c r="A485" i="33"/>
  <c r="A486" i="33"/>
  <c r="A487" i="33"/>
  <c r="A488" i="33"/>
  <c r="A489" i="33"/>
  <c r="A490" i="33"/>
  <c r="A491" i="33"/>
  <c r="A492" i="33"/>
  <c r="A606" i="33"/>
  <c r="A607" i="33"/>
  <c r="A608" i="33"/>
  <c r="A609" i="33"/>
  <c r="A610" i="33"/>
  <c r="A611" i="33"/>
  <c r="A586" i="33"/>
  <c r="A587" i="33"/>
  <c r="A588" i="33"/>
  <c r="A554" i="33"/>
  <c r="A555" i="33"/>
  <c r="A556" i="33"/>
  <c r="A557" i="33"/>
  <c r="A558" i="33"/>
  <c r="A559" i="33"/>
  <c r="A560" i="33"/>
  <c r="A561" i="33"/>
  <c r="A562" i="33"/>
  <c r="A563" i="33"/>
  <c r="B156" i="33"/>
  <c r="B157" i="33"/>
  <c r="B159" i="33"/>
  <c r="B158" i="33"/>
  <c r="B213" i="33"/>
  <c r="B211" i="33"/>
  <c r="B210" i="33"/>
  <c r="B216" i="33"/>
  <c r="B215" i="33"/>
  <c r="B214" i="33"/>
  <c r="B212" i="33"/>
  <c r="B46" i="33"/>
  <c r="B50" i="33"/>
  <c r="B58" i="33"/>
  <c r="B41" i="33"/>
  <c r="B67" i="33"/>
  <c r="B63" i="33"/>
  <c r="B62" i="33"/>
  <c r="B47" i="33"/>
  <c r="B44" i="33"/>
  <c r="B55" i="33"/>
  <c r="B54" i="33"/>
  <c r="B59" i="33"/>
  <c r="B61" i="33"/>
  <c r="B68" i="33"/>
  <c r="B48" i="33"/>
  <c r="B43" i="33"/>
  <c r="B56" i="33"/>
  <c r="B52" i="33"/>
  <c r="B57" i="33"/>
  <c r="B42" i="33"/>
  <c r="B66" i="33"/>
  <c r="B45" i="33"/>
  <c r="B60" i="33"/>
  <c r="B49" i="33"/>
  <c r="B53" i="33"/>
  <c r="B65" i="33"/>
  <c r="B51" i="33"/>
  <c r="B64" i="33"/>
  <c r="B40" i="33"/>
  <c r="B138" i="33"/>
  <c r="B136" i="33"/>
  <c r="B137" i="33"/>
  <c r="B135" i="33"/>
  <c r="B139" i="33"/>
  <c r="B73" i="33"/>
  <c r="B74" i="33"/>
  <c r="B69" i="33"/>
  <c r="B71" i="33"/>
  <c r="B70" i="33"/>
  <c r="B72" i="33"/>
  <c r="B197" i="33"/>
  <c r="B190" i="33"/>
  <c r="B198" i="33"/>
  <c r="B199" i="33"/>
  <c r="B193" i="33"/>
  <c r="B189" i="33"/>
  <c r="B186" i="33"/>
  <c r="B192" i="33"/>
  <c r="B185" i="33"/>
  <c r="B191" i="33"/>
  <c r="B195" i="33"/>
  <c r="B196" i="33"/>
  <c r="B188" i="33"/>
  <c r="B182" i="33"/>
  <c r="B194" i="33"/>
  <c r="B184" i="33"/>
  <c r="B183" i="33"/>
  <c r="B187" i="33"/>
  <c r="B200" i="33"/>
  <c r="B10" i="33"/>
  <c r="B11" i="33"/>
  <c r="B12" i="33"/>
  <c r="B84" i="33"/>
  <c r="B93" i="33"/>
  <c r="B86" i="33"/>
  <c r="B81" i="33"/>
  <c r="B80" i="33"/>
  <c r="B89" i="33"/>
  <c r="B87" i="33"/>
  <c r="B88" i="33"/>
  <c r="B83" i="33"/>
  <c r="B82" i="33"/>
  <c r="B85" i="33"/>
  <c r="B91" i="33"/>
  <c r="B90" i="33"/>
  <c r="B92" i="33"/>
  <c r="B174" i="33"/>
  <c r="B179" i="33"/>
  <c r="B176" i="33"/>
  <c r="B177" i="33"/>
  <c r="B178" i="33"/>
  <c r="B173" i="33"/>
  <c r="B180" i="33"/>
  <c r="B175" i="33"/>
  <c r="B17" i="33"/>
  <c r="B19" i="33"/>
  <c r="B29" i="33"/>
  <c r="B25" i="33"/>
  <c r="B15" i="33"/>
  <c r="B14" i="33"/>
  <c r="B13" i="33"/>
  <c r="B20" i="33"/>
  <c r="B18" i="33"/>
  <c r="B24" i="33"/>
  <c r="B21" i="33"/>
  <c r="B23" i="33"/>
  <c r="B16" i="33"/>
  <c r="B26" i="33"/>
  <c r="B27" i="33"/>
  <c r="B22" i="33"/>
  <c r="B28" i="33"/>
  <c r="B38" i="33"/>
  <c r="B35" i="33"/>
  <c r="B32" i="33"/>
  <c r="B34" i="33"/>
  <c r="B31" i="33"/>
  <c r="B33" i="33"/>
  <c r="B30" i="33"/>
  <c r="B36" i="33"/>
  <c r="B39" i="33"/>
  <c r="B37" i="33"/>
  <c r="B201" i="33"/>
  <c r="B205" i="33"/>
  <c r="B202" i="33"/>
  <c r="B209" i="33"/>
  <c r="B204" i="33"/>
  <c r="B203" i="33"/>
  <c r="B206" i="33"/>
  <c r="B208" i="33"/>
  <c r="B207" i="33"/>
  <c r="B8" i="33"/>
  <c r="B5" i="33"/>
  <c r="B9" i="33"/>
  <c r="B6" i="33"/>
  <c r="B7" i="33"/>
  <c r="B4" i="33"/>
  <c r="B128" i="33"/>
  <c r="B129" i="33"/>
  <c r="B122" i="33"/>
  <c r="B130" i="33"/>
  <c r="B124" i="33"/>
  <c r="B125" i="33"/>
  <c r="B133" i="33"/>
  <c r="B131" i="33"/>
  <c r="B114" i="33"/>
  <c r="B132" i="33"/>
  <c r="B134" i="33"/>
  <c r="B115" i="33"/>
  <c r="B116" i="33"/>
  <c r="B119" i="33"/>
  <c r="B127" i="33"/>
  <c r="B117" i="33"/>
  <c r="B120" i="33"/>
  <c r="B118" i="33"/>
  <c r="B121" i="33"/>
  <c r="B126" i="33"/>
  <c r="B123" i="33"/>
  <c r="B181" i="33"/>
  <c r="B2" i="33"/>
  <c r="B3" i="33"/>
  <c r="B77" i="33"/>
  <c r="B79" i="33"/>
  <c r="B75" i="33"/>
  <c r="B78" i="33"/>
  <c r="B76" i="33"/>
  <c r="B101" i="33"/>
  <c r="B94" i="33"/>
  <c r="B113" i="33"/>
  <c r="B98" i="33"/>
  <c r="B109" i="33"/>
  <c r="B105" i="33"/>
  <c r="B104" i="33"/>
  <c r="B112" i="33"/>
  <c r="B107" i="33"/>
  <c r="B108" i="33"/>
  <c r="B110" i="33"/>
  <c r="B96" i="33"/>
  <c r="B95" i="33"/>
  <c r="B97" i="33"/>
  <c r="B102" i="33"/>
  <c r="B99" i="33"/>
  <c r="B111" i="33"/>
  <c r="B100" i="33"/>
  <c r="B106" i="33"/>
  <c r="B103" i="33"/>
  <c r="B171" i="33"/>
  <c r="B167" i="33"/>
  <c r="B168" i="33"/>
  <c r="B170" i="33"/>
  <c r="B164" i="33"/>
  <c r="B172" i="33"/>
  <c r="B165" i="33"/>
  <c r="B169" i="33"/>
  <c r="B166" i="33"/>
  <c r="B163" i="33"/>
  <c r="B160" i="33"/>
  <c r="B162" i="33"/>
  <c r="B161" i="33"/>
  <c r="B154" i="33"/>
  <c r="B144" i="33"/>
  <c r="B140" i="33"/>
  <c r="B150" i="33"/>
  <c r="B145" i="33"/>
  <c r="B155" i="33"/>
  <c r="B151" i="33"/>
  <c r="B142" i="33"/>
  <c r="B147" i="33"/>
  <c r="B143" i="33"/>
  <c r="B152" i="33"/>
  <c r="B153" i="33"/>
  <c r="B146" i="33"/>
  <c r="B149" i="33"/>
  <c r="B141" i="33"/>
  <c r="B148" i="33"/>
  <c r="I7" i="23" l="1"/>
  <c r="J2" i="28"/>
  <c r="L2" i="28" s="1"/>
  <c r="J8" i="28"/>
  <c r="J14" i="28"/>
  <c r="J9" i="28"/>
  <c r="J21" i="28"/>
  <c r="J16" i="28"/>
  <c r="J3" i="28"/>
  <c r="J4" i="28"/>
  <c r="L4" i="28" s="1"/>
  <c r="J5" i="28"/>
  <c r="J11" i="28"/>
  <c r="J17" i="28"/>
  <c r="J13" i="28"/>
  <c r="J10" i="28"/>
  <c r="J6" i="28"/>
  <c r="J12" i="28"/>
  <c r="J20" i="28"/>
  <c r="J15" i="28"/>
  <c r="J22" i="28"/>
  <c r="J7" i="28"/>
  <c r="L7" i="28" s="1"/>
  <c r="B679" i="33"/>
  <c r="B680" i="33"/>
  <c r="B533" i="33"/>
  <c r="B342" i="33"/>
  <c r="B343" i="33"/>
  <c r="B344" i="33"/>
  <c r="B345" i="33"/>
  <c r="B346" i="33"/>
  <c r="B347" i="33"/>
  <c r="B348" i="33"/>
  <c r="B640" i="33"/>
  <c r="B641" i="33"/>
  <c r="B642" i="33"/>
  <c r="B402" i="33"/>
  <c r="B403" i="33"/>
  <c r="B404" i="33"/>
  <c r="B405" i="33"/>
  <c r="B406" i="33"/>
  <c r="B285" i="33"/>
  <c r="B286" i="33"/>
  <c r="B287" i="33"/>
  <c r="B288" i="33"/>
  <c r="B289" i="33"/>
  <c r="B290" i="33"/>
  <c r="B291" i="33"/>
  <c r="B665" i="33"/>
  <c r="B666" i="33"/>
  <c r="B667" i="33"/>
  <c r="B264" i="33"/>
  <c r="B493" i="33"/>
  <c r="B494" i="33"/>
  <c r="B495" i="33"/>
  <c r="B496" i="33"/>
  <c r="B632" i="33"/>
  <c r="B385" i="33"/>
  <c r="B386" i="33"/>
  <c r="B387" i="33"/>
  <c r="B388" i="33"/>
  <c r="B389" i="33"/>
  <c r="B451" i="33"/>
  <c r="B452" i="33"/>
  <c r="B453" i="33"/>
  <c r="B454" i="33"/>
  <c r="B455" i="33"/>
  <c r="B456" i="33"/>
  <c r="B457" i="33"/>
  <c r="B458" i="33"/>
  <c r="B459" i="33"/>
  <c r="B460" i="33"/>
  <c r="B461" i="33"/>
  <c r="B462" i="33"/>
  <c r="B463" i="33"/>
  <c r="B464" i="33"/>
  <c r="B465" i="33"/>
  <c r="B466" i="33"/>
  <c r="B589" i="33"/>
  <c r="B590" i="33"/>
  <c r="B591" i="33"/>
  <c r="B592" i="33"/>
  <c r="B593" i="33"/>
  <c r="B594" i="33"/>
  <c r="B595" i="33"/>
  <c r="B596" i="33"/>
  <c r="B597" i="33"/>
  <c r="B576" i="33"/>
  <c r="B577" i="33"/>
  <c r="B545" i="33"/>
  <c r="B546" i="33"/>
  <c r="B547" i="33"/>
  <c r="B681" i="33"/>
  <c r="B534" i="33"/>
  <c r="B535" i="33"/>
  <c r="B643" i="33"/>
  <c r="B612" i="33"/>
  <c r="B564" i="33"/>
  <c r="B565" i="33"/>
  <c r="B566" i="33"/>
  <c r="B567" i="33"/>
  <c r="B568" i="33"/>
  <c r="B569" i="33"/>
  <c r="B570" i="33"/>
  <c r="B571" i="33"/>
  <c r="B682" i="33"/>
  <c r="B683" i="33"/>
  <c r="B684" i="33"/>
  <c r="B685" i="33"/>
  <c r="B686" i="33"/>
  <c r="B687" i="33"/>
  <c r="B688" i="33"/>
  <c r="B689" i="33"/>
  <c r="B690" i="33"/>
  <c r="B691" i="33"/>
  <c r="B692" i="33"/>
  <c r="B536" i="33"/>
  <c r="B537" i="33"/>
  <c r="B538" i="33"/>
  <c r="B539" i="33"/>
  <c r="B540" i="33"/>
  <c r="B541" i="33"/>
  <c r="B542" i="33"/>
  <c r="B349" i="33"/>
  <c r="B350" i="33"/>
  <c r="B351" i="33"/>
  <c r="B352" i="33"/>
  <c r="B353" i="33"/>
  <c r="B354" i="33"/>
  <c r="B355" i="33"/>
  <c r="B356" i="33"/>
  <c r="B644" i="33"/>
  <c r="B645" i="33"/>
  <c r="B646" i="33"/>
  <c r="B647" i="33"/>
  <c r="B648" i="33"/>
  <c r="B649" i="33"/>
  <c r="B650" i="33"/>
  <c r="B651" i="33"/>
  <c r="B652" i="33"/>
  <c r="B653" i="33"/>
  <c r="B654" i="33"/>
  <c r="B655" i="33"/>
  <c r="B281" i="33"/>
  <c r="B407" i="33"/>
  <c r="B408" i="33"/>
  <c r="B409" i="33"/>
  <c r="B410" i="33"/>
  <c r="B411" i="33"/>
  <c r="B412" i="33"/>
  <c r="B413" i="33"/>
  <c r="B414" i="33"/>
  <c r="B415" i="33"/>
  <c r="B416" i="33"/>
  <c r="B417" i="33"/>
  <c r="B418" i="33"/>
  <c r="B419" i="33"/>
  <c r="B420" i="33"/>
  <c r="B421" i="33"/>
  <c r="B422" i="33"/>
  <c r="B423" i="33"/>
  <c r="B424" i="33"/>
  <c r="B425" i="33"/>
  <c r="B426" i="33"/>
  <c r="B427" i="33"/>
  <c r="B428" i="33"/>
  <c r="B429" i="33"/>
  <c r="B430" i="33"/>
  <c r="B431" i="33"/>
  <c r="B432" i="33"/>
  <c r="B433" i="33"/>
  <c r="B434" i="33"/>
  <c r="B435" i="33"/>
  <c r="B613" i="33"/>
  <c r="B614" i="33"/>
  <c r="B615" i="33"/>
  <c r="B616" i="33"/>
  <c r="B617" i="33"/>
  <c r="B618" i="33"/>
  <c r="B619" i="33"/>
  <c r="B620" i="33"/>
  <c r="B621" i="33"/>
  <c r="B622" i="33"/>
  <c r="B623" i="33"/>
  <c r="B624" i="33"/>
  <c r="B625" i="33"/>
  <c r="B292" i="33"/>
  <c r="B293" i="33"/>
  <c r="B294" i="33"/>
  <c r="B295" i="33"/>
  <c r="B296" i="33"/>
  <c r="B297" i="33"/>
  <c r="B298" i="33"/>
  <c r="B299" i="33"/>
  <c r="B300" i="33"/>
  <c r="B301" i="33"/>
  <c r="B302" i="33"/>
  <c r="B303" i="33"/>
  <c r="B314" i="33"/>
  <c r="B315" i="33"/>
  <c r="B316" i="33"/>
  <c r="B668" i="33"/>
  <c r="B669" i="33"/>
  <c r="B670" i="33"/>
  <c r="B671" i="33"/>
  <c r="B672" i="33"/>
  <c r="B265" i="33"/>
  <c r="B266" i="33"/>
  <c r="B267" i="33"/>
  <c r="B268" i="33"/>
  <c r="B269" i="33"/>
  <c r="B270" i="33"/>
  <c r="B271" i="33"/>
  <c r="B497" i="33"/>
  <c r="B498" i="33"/>
  <c r="B499" i="33"/>
  <c r="B500" i="33"/>
  <c r="B501" i="33"/>
  <c r="B502" i="33"/>
  <c r="B503" i="33"/>
  <c r="B504" i="33"/>
  <c r="B505" i="33"/>
  <c r="B506" i="33"/>
  <c r="B507" i="33"/>
  <c r="B508" i="33"/>
  <c r="B509" i="33"/>
  <c r="B510" i="33"/>
  <c r="B511" i="33"/>
  <c r="B633" i="33"/>
  <c r="B634" i="33"/>
  <c r="B635" i="33"/>
  <c r="B636" i="33"/>
  <c r="B252" i="33"/>
  <c r="I2" i="23" s="1"/>
  <c r="B253" i="33"/>
  <c r="B254" i="33"/>
  <c r="B255" i="33"/>
  <c r="B256" i="33"/>
  <c r="B257" i="33"/>
  <c r="B258" i="33"/>
  <c r="B259" i="33"/>
  <c r="B260" i="33"/>
  <c r="B261" i="33"/>
  <c r="B390" i="33"/>
  <c r="B391" i="33"/>
  <c r="B467" i="33"/>
  <c r="B468" i="33"/>
  <c r="B469" i="33"/>
  <c r="B470" i="33"/>
  <c r="B471" i="33"/>
  <c r="B472" i="33"/>
  <c r="B473" i="33"/>
  <c r="B474" i="33"/>
  <c r="B475" i="33"/>
  <c r="B476" i="33"/>
  <c r="B598" i="33"/>
  <c r="B599" i="33"/>
  <c r="B600" i="33"/>
  <c r="B601" i="33"/>
  <c r="B602" i="33"/>
  <c r="B603" i="33"/>
  <c r="B604" i="33"/>
  <c r="B605" i="33"/>
  <c r="B578" i="33"/>
  <c r="B579" i="33"/>
  <c r="B580" i="33"/>
  <c r="B581" i="33"/>
  <c r="B582" i="33"/>
  <c r="B583" i="33"/>
  <c r="B584" i="33"/>
  <c r="B585" i="33"/>
  <c r="B548" i="33"/>
  <c r="B549" i="33"/>
  <c r="B550" i="33"/>
  <c r="B551" i="33"/>
  <c r="B552" i="33"/>
  <c r="B553" i="33"/>
  <c r="B572" i="33"/>
  <c r="B573" i="33"/>
  <c r="B574" i="33"/>
  <c r="B575" i="33"/>
  <c r="B693" i="33"/>
  <c r="B694" i="33"/>
  <c r="B695" i="33"/>
  <c r="B696" i="33"/>
  <c r="B697" i="33"/>
  <c r="B698" i="33"/>
  <c r="B699" i="33"/>
  <c r="B320" i="33"/>
  <c r="B321" i="33"/>
  <c r="B322" i="33"/>
  <c r="B323" i="33"/>
  <c r="B324" i="33"/>
  <c r="B325" i="33"/>
  <c r="B326" i="33"/>
  <c r="B327" i="33"/>
  <c r="B328" i="33"/>
  <c r="B329" i="33"/>
  <c r="B330" i="33"/>
  <c r="B331" i="33"/>
  <c r="B332" i="33"/>
  <c r="B333" i="33"/>
  <c r="B334" i="33"/>
  <c r="B335" i="33"/>
  <c r="B336" i="33"/>
  <c r="B337" i="33"/>
  <c r="B338" i="33"/>
  <c r="B339" i="33"/>
  <c r="B340" i="33"/>
  <c r="B341" i="33"/>
  <c r="B543" i="33"/>
  <c r="B544" i="33"/>
  <c r="B357" i="33"/>
  <c r="B358" i="33"/>
  <c r="B359" i="33"/>
  <c r="B360" i="33"/>
  <c r="B361" i="33"/>
  <c r="B362" i="33"/>
  <c r="B363" i="33"/>
  <c r="B364" i="33"/>
  <c r="B365" i="33"/>
  <c r="B366" i="33"/>
  <c r="B367" i="33"/>
  <c r="B368" i="33"/>
  <c r="B369" i="33"/>
  <c r="B370" i="33"/>
  <c r="B371" i="33"/>
  <c r="B372" i="33"/>
  <c r="B373" i="33"/>
  <c r="B374" i="33"/>
  <c r="B375" i="33"/>
  <c r="B376" i="33"/>
  <c r="B377" i="33"/>
  <c r="B378" i="33"/>
  <c r="B379" i="33"/>
  <c r="B380" i="33"/>
  <c r="B381" i="33"/>
  <c r="B382" i="33"/>
  <c r="B383" i="33"/>
  <c r="B384" i="33"/>
  <c r="B656" i="33"/>
  <c r="B657" i="33"/>
  <c r="B658" i="33"/>
  <c r="B659" i="33"/>
  <c r="B660" i="33"/>
  <c r="B661" i="33"/>
  <c r="B662" i="33"/>
  <c r="B663" i="33"/>
  <c r="B664" i="33"/>
  <c r="B700" i="33"/>
  <c r="B701" i="33"/>
  <c r="B702" i="33"/>
  <c r="B282" i="33"/>
  <c r="B283" i="33"/>
  <c r="B284" i="33"/>
  <c r="B436" i="33"/>
  <c r="B437" i="33"/>
  <c r="B438" i="33"/>
  <c r="B439" i="33"/>
  <c r="B440" i="33"/>
  <c r="B441" i="33"/>
  <c r="B442" i="33"/>
  <c r="B443" i="33"/>
  <c r="B444" i="33"/>
  <c r="B445" i="33"/>
  <c r="B446" i="33"/>
  <c r="B447" i="33"/>
  <c r="B448" i="33"/>
  <c r="B449" i="33"/>
  <c r="B450" i="33"/>
  <c r="B626" i="33"/>
  <c r="B627" i="33"/>
  <c r="B628" i="33"/>
  <c r="B629" i="33"/>
  <c r="B630" i="33"/>
  <c r="B631" i="33"/>
  <c r="B304" i="33"/>
  <c r="B305" i="33"/>
  <c r="B306" i="33"/>
  <c r="B307" i="33"/>
  <c r="B308" i="33"/>
  <c r="B309" i="33"/>
  <c r="B310" i="33"/>
  <c r="B311" i="33"/>
  <c r="B312" i="33"/>
  <c r="B313" i="33"/>
  <c r="B317" i="33"/>
  <c r="B318" i="33"/>
  <c r="B319" i="33"/>
  <c r="B673" i="33"/>
  <c r="B674" i="33"/>
  <c r="B675" i="33"/>
  <c r="B676" i="33"/>
  <c r="B677" i="33"/>
  <c r="B678" i="33"/>
  <c r="B272" i="33"/>
  <c r="B273" i="33"/>
  <c r="B274" i="33"/>
  <c r="B275" i="33"/>
  <c r="B276" i="33"/>
  <c r="B277" i="33"/>
  <c r="B278" i="33"/>
  <c r="B279" i="33"/>
  <c r="B280" i="33"/>
  <c r="B512" i="33"/>
  <c r="B513" i="33"/>
  <c r="B514" i="33"/>
  <c r="B515" i="33"/>
  <c r="B516" i="33"/>
  <c r="B517" i="33"/>
  <c r="B518" i="33"/>
  <c r="B519" i="33"/>
  <c r="B520" i="33"/>
  <c r="B521" i="33"/>
  <c r="B522" i="33"/>
  <c r="B523" i="33"/>
  <c r="B524" i="33"/>
  <c r="B525" i="33"/>
  <c r="B526" i="33"/>
  <c r="B527" i="33"/>
  <c r="B528" i="33"/>
  <c r="B529" i="33"/>
  <c r="B530" i="33"/>
  <c r="B531" i="33"/>
  <c r="B532" i="33"/>
  <c r="B637" i="33"/>
  <c r="B638" i="33"/>
  <c r="B639" i="33"/>
  <c r="B262" i="33"/>
  <c r="B263" i="33"/>
  <c r="B392" i="33"/>
  <c r="B393" i="33"/>
  <c r="B394" i="33"/>
  <c r="B395" i="33"/>
  <c r="B396" i="33"/>
  <c r="B397" i="33"/>
  <c r="B398" i="33"/>
  <c r="B399" i="33"/>
  <c r="B400" i="33"/>
  <c r="B401" i="33"/>
  <c r="B477" i="33"/>
  <c r="B478" i="33"/>
  <c r="B479" i="33"/>
  <c r="B480" i="33"/>
  <c r="B481" i="33"/>
  <c r="B482" i="33"/>
  <c r="B483" i="33"/>
  <c r="B484" i="33"/>
  <c r="B485" i="33"/>
  <c r="B486" i="33"/>
  <c r="B487" i="33"/>
  <c r="B488" i="33"/>
  <c r="B489" i="33"/>
  <c r="B490" i="33"/>
  <c r="B491" i="33"/>
  <c r="B492" i="33"/>
  <c r="B606" i="33"/>
  <c r="B607" i="33"/>
  <c r="B608" i="33"/>
  <c r="B609" i="33"/>
  <c r="B610" i="33"/>
  <c r="B611" i="33"/>
  <c r="B586" i="33"/>
  <c r="B587" i="33"/>
  <c r="B588" i="33"/>
  <c r="B554" i="33"/>
  <c r="B555" i="33"/>
  <c r="B556" i="33"/>
  <c r="B557" i="33"/>
  <c r="B558" i="33"/>
  <c r="B559" i="33"/>
  <c r="B560" i="33"/>
  <c r="B561" i="33"/>
  <c r="B562" i="33"/>
  <c r="B563" i="33"/>
  <c r="I22" i="23" l="1"/>
  <c r="I12" i="23"/>
  <c r="I14" i="23"/>
  <c r="I4" i="23"/>
  <c r="I6" i="23"/>
  <c r="I19" i="23"/>
  <c r="I17" i="23"/>
  <c r="I16" i="23"/>
  <c r="I11" i="23"/>
  <c r="I9" i="23"/>
  <c r="I21" i="23"/>
  <c r="I3" i="23"/>
  <c r="I8" i="23"/>
  <c r="I13" i="23"/>
  <c r="I18" i="23"/>
  <c r="I15" i="23"/>
  <c r="I5" i="23"/>
  <c r="I10" i="23"/>
  <c r="I20" i="23"/>
  <c r="F7" i="28"/>
  <c r="F4" i="28"/>
  <c r="F2" i="28"/>
  <c r="E2" i="28" s="1" a="1"/>
  <c r="E2" i="28" s="1"/>
  <c r="B2" i="28" s="1"/>
  <c r="C2" i="19" s="1"/>
  <c r="L8" i="28"/>
  <c r="L22" i="28"/>
  <c r="L16" i="28"/>
  <c r="L21" i="28"/>
  <c r="L9" i="28"/>
  <c r="L20" i="28"/>
  <c r="L12" i="28"/>
  <c r="L5" i="28"/>
  <c r="L14" i="28"/>
  <c r="L15" i="28"/>
  <c r="L11" i="28"/>
  <c r="L6" i="28"/>
  <c r="L13" i="28"/>
  <c r="L17" i="28"/>
  <c r="L10" i="28"/>
  <c r="L3" i="28"/>
  <c r="J19" i="28"/>
  <c r="J18" i="28"/>
  <c r="D13" i="23"/>
  <c r="F13" i="23" s="1"/>
  <c r="C13" i="23" s="1" a="1"/>
  <c r="C13" i="23" s="1"/>
  <c r="D21" i="23"/>
  <c r="F21" i="23" s="1"/>
  <c r="C21" i="23" s="1" a="1"/>
  <c r="C21" i="23" s="1"/>
  <c r="D6" i="23"/>
  <c r="F6" i="23" s="1"/>
  <c r="C6" i="23" s="1" a="1"/>
  <c r="C6" i="23" s="1"/>
  <c r="D7" i="23"/>
  <c r="F7" i="23" s="1"/>
  <c r="C7" i="23" s="1" a="1"/>
  <c r="C7" i="23" s="1"/>
  <c r="D4" i="23"/>
  <c r="F4" i="23" s="1"/>
  <c r="C4" i="23" s="1" a="1"/>
  <c r="C4" i="23" s="1"/>
  <c r="D14" i="23"/>
  <c r="F14" i="23" s="1"/>
  <c r="C14" i="23" s="1" a="1"/>
  <c r="C14" i="23" s="1"/>
  <c r="D22" i="23"/>
  <c r="F22" i="23" s="1"/>
  <c r="C22" i="23" s="1" a="1"/>
  <c r="C22" i="23" s="1"/>
  <c r="D3" i="23"/>
  <c r="D17" i="23"/>
  <c r="F17" i="23" s="1"/>
  <c r="C17" i="23" s="1" a="1"/>
  <c r="C17" i="23" s="1"/>
  <c r="D10" i="23"/>
  <c r="F10" i="23" s="1"/>
  <c r="C10" i="23" s="1" a="1"/>
  <c r="C10" i="23" s="1"/>
  <c r="D18" i="23"/>
  <c r="F18" i="23" s="1"/>
  <c r="C18" i="23" s="1" a="1"/>
  <c r="C18" i="23" s="1"/>
  <c r="D16" i="23"/>
  <c r="F16" i="23" s="1"/>
  <c r="C16" i="23" s="1" a="1"/>
  <c r="C16" i="23" s="1"/>
  <c r="D9" i="23"/>
  <c r="F9" i="23" s="1"/>
  <c r="C9" i="23" s="1" a="1"/>
  <c r="C9" i="23" s="1"/>
  <c r="D20" i="23"/>
  <c r="F20" i="23" s="1"/>
  <c r="C20" i="23" s="1" a="1"/>
  <c r="C20" i="23" s="1"/>
  <c r="D15" i="23"/>
  <c r="F15" i="23" s="1"/>
  <c r="C15" i="23" s="1" a="1"/>
  <c r="C15" i="23" s="1"/>
  <c r="D8" i="23"/>
  <c r="F8" i="23" s="1"/>
  <c r="C8" i="23" s="1" a="1"/>
  <c r="C8" i="23" s="1"/>
  <c r="D19" i="23"/>
  <c r="F19" i="23" s="1"/>
  <c r="C19" i="23" s="1" a="1"/>
  <c r="C19" i="23" s="1"/>
  <c r="D2" i="23"/>
  <c r="F2" i="23" s="1"/>
  <c r="D11" i="23"/>
  <c r="F11" i="23" s="1"/>
  <c r="C11" i="23" s="1" a="1"/>
  <c r="C11" i="23" s="1"/>
  <c r="D5" i="23"/>
  <c r="F5" i="23" s="1"/>
  <c r="C5" i="23" s="1" a="1"/>
  <c r="C5" i="23" s="1"/>
  <c r="D12" i="23"/>
  <c r="F12" i="23" s="1"/>
  <c r="C12" i="23" s="1" a="1"/>
  <c r="C12" i="23" s="1"/>
  <c r="F3" i="28" l="1"/>
  <c r="F10" i="28"/>
  <c r="E10" i="28" s="1" a="1"/>
  <c r="E10" i="28" s="1"/>
  <c r="B10" i="28" s="1"/>
  <c r="C10" i="19" s="1"/>
  <c r="F17" i="28"/>
  <c r="E17" i="28" s="1" a="1"/>
  <c r="E17" i="28" s="1"/>
  <c r="B17" i="28" s="1"/>
  <c r="C17" i="19" s="1"/>
  <c r="F13" i="28"/>
  <c r="E13" i="28" s="1" a="1"/>
  <c r="E13" i="28" s="1"/>
  <c r="B13" i="28" s="1"/>
  <c r="C13" i="19" s="1"/>
  <c r="F6" i="28"/>
  <c r="E6" i="28" s="1" a="1"/>
  <c r="E6" i="28" s="1"/>
  <c r="B6" i="28" s="1"/>
  <c r="C6" i="19" s="1"/>
  <c r="F11" i="28"/>
  <c r="E11" i="28" s="1" a="1"/>
  <c r="E11" i="28" s="1"/>
  <c r="B11" i="28" s="1"/>
  <c r="C11" i="19" s="1"/>
  <c r="F15" i="28"/>
  <c r="E15" i="28" s="1" a="1"/>
  <c r="E15" i="28" s="1"/>
  <c r="B15" i="28" s="1"/>
  <c r="C15" i="19" s="1"/>
  <c r="F14" i="28"/>
  <c r="E14" i="28" s="1" a="1"/>
  <c r="E14" i="28" s="1"/>
  <c r="B14" i="28" s="1"/>
  <c r="C14" i="19" s="1"/>
  <c r="F5" i="28"/>
  <c r="F12" i="28"/>
  <c r="E12" i="28" s="1" a="1"/>
  <c r="E12" i="28" s="1"/>
  <c r="B12" i="28" s="1"/>
  <c r="C12" i="19" s="1"/>
  <c r="F20" i="28"/>
  <c r="E20" i="28" s="1" a="1"/>
  <c r="E20" i="28" s="1"/>
  <c r="B20" i="28" s="1"/>
  <c r="C20" i="19" s="1"/>
  <c r="F9" i="28"/>
  <c r="E9" i="28" s="1" a="1"/>
  <c r="E9" i="28" s="1"/>
  <c r="B9" i="28" s="1"/>
  <c r="C9" i="19" s="1"/>
  <c r="F21" i="28"/>
  <c r="E21" i="28" s="1" a="1"/>
  <c r="E21" i="28" s="1"/>
  <c r="B21" i="28" s="1"/>
  <c r="C22" i="19" s="1"/>
  <c r="F16" i="28"/>
  <c r="E16" i="28" s="1" a="1"/>
  <c r="E16" i="28" s="1"/>
  <c r="B16" i="28" s="1"/>
  <c r="C16" i="19" s="1"/>
  <c r="F22" i="28"/>
  <c r="E22" i="28" s="1" a="1"/>
  <c r="E22" i="28" s="1"/>
  <c r="B22" i="28" s="1"/>
  <c r="C21" i="19" s="1"/>
  <c r="F8" i="28"/>
  <c r="E8" i="28" s="1" a="1"/>
  <c r="E8" i="28" s="1"/>
  <c r="B8" i="28" s="1"/>
  <c r="C8" i="19" s="1"/>
  <c r="F3" i="23"/>
  <c r="C3" i="23" s="1" a="1"/>
  <c r="C3" i="23" s="1"/>
  <c r="E3" i="28" a="1"/>
  <c r="E3" i="28" s="1"/>
  <c r="B3" i="28" s="1"/>
  <c r="C3" i="19" s="1"/>
  <c r="E4" i="28" a="1"/>
  <c r="E4" i="28" s="1"/>
  <c r="B4" i="28" s="1"/>
  <c r="C4" i="19" s="1"/>
  <c r="E5" i="28" a="1"/>
  <c r="E5" i="28" s="1"/>
  <c r="B5" i="28" s="1"/>
  <c r="C5" i="19" s="1"/>
  <c r="E7" i="28" a="1"/>
  <c r="E7" i="28" s="1"/>
  <c r="B7" i="28" s="1"/>
  <c r="C7" i="19" s="1"/>
  <c r="G18" i="23" a="1"/>
  <c r="G18" i="23" s="1"/>
  <c r="B18" i="23" s="1"/>
  <c r="G14" i="23" a="1"/>
  <c r="G14" i="23" s="1"/>
  <c r="B14" i="23" s="1"/>
  <c r="G21" i="23" a="1"/>
  <c r="G21" i="23" s="1"/>
  <c r="B21" i="23" s="1"/>
  <c r="G13" i="23" a="1"/>
  <c r="G13" i="23" s="1"/>
  <c r="B13" i="23" s="1"/>
  <c r="G15" i="23" a="1"/>
  <c r="G15" i="23" s="1"/>
  <c r="B15" i="23" s="1"/>
  <c r="L18" i="28"/>
  <c r="L19" i="28"/>
  <c r="G19" i="23" a="1"/>
  <c r="G19" i="23" s="1"/>
  <c r="B19" i="23" s="1"/>
  <c r="G3" i="23" a="1"/>
  <c r="G3" i="23" s="1"/>
  <c r="G5" i="23" a="1"/>
  <c r="G5" i="23" s="1"/>
  <c r="B5" i="23" s="1"/>
  <c r="G8" i="23" a="1"/>
  <c r="G8" i="23" s="1"/>
  <c r="B8" i="23" s="1"/>
  <c r="G9" i="23" a="1"/>
  <c r="G9" i="23" s="1"/>
  <c r="B9" i="23" s="1"/>
  <c r="G16" i="23" a="1"/>
  <c r="G16" i="23" s="1"/>
  <c r="B16" i="23" s="1"/>
  <c r="B2" i="23"/>
  <c r="G7" i="23" a="1"/>
  <c r="G7" i="23" s="1"/>
  <c r="B7" i="23" s="1"/>
  <c r="G11" i="23" a="1"/>
  <c r="G11" i="23" s="1"/>
  <c r="B11" i="23" s="1"/>
  <c r="G10" i="23" a="1"/>
  <c r="G10" i="23" s="1"/>
  <c r="B10" i="23" s="1"/>
  <c r="G17" i="23" a="1"/>
  <c r="G17" i="23" s="1"/>
  <c r="B17" i="23" s="1"/>
  <c r="G22" i="23" a="1"/>
  <c r="G22" i="23" s="1"/>
  <c r="B22" i="23" s="1"/>
  <c r="G4" i="23" a="1"/>
  <c r="G4" i="23" s="1"/>
  <c r="B4" i="23" s="1"/>
  <c r="G12" i="23" a="1"/>
  <c r="G12" i="23" s="1"/>
  <c r="B12" i="23" s="1"/>
  <c r="G2" i="9"/>
  <c r="H2" i="9" s="1"/>
  <c r="B3" i="23" l="1"/>
  <c r="F19" i="28"/>
  <c r="E19" i="28" s="1" a="1"/>
  <c r="E19" i="28" s="1"/>
  <c r="B19" i="28" s="1"/>
  <c r="C19" i="19" s="1"/>
  <c r="F18" i="28"/>
  <c r="E18" i="28" s="1" a="1"/>
  <c r="E18" i="28" s="1"/>
  <c r="B18" i="28" s="1"/>
  <c r="C18" i="19" s="1"/>
  <c r="F15" i="19"/>
  <c r="F5" i="19"/>
  <c r="F22" i="19"/>
  <c r="F16" i="19"/>
  <c r="F18" i="19"/>
  <c r="F8" i="19"/>
  <c r="F4" i="19"/>
  <c r="F12" i="19"/>
  <c r="F17" i="19"/>
  <c r="G6" i="23" a="1"/>
  <c r="G6" i="23" s="1"/>
  <c r="G20" i="23" a="1"/>
  <c r="G20" i="23" s="1"/>
  <c r="F3" i="19"/>
  <c r="F13" i="19"/>
  <c r="F21" i="19"/>
  <c r="F9" i="19"/>
  <c r="F7" i="19"/>
  <c r="F19" i="19"/>
  <c r="F2" i="19"/>
  <c r="F10" i="19"/>
  <c r="F11" i="19"/>
  <c r="F14" i="19"/>
  <c r="B20" i="23" l="1"/>
  <c r="F20" i="19" s="1"/>
  <c r="B6" i="23"/>
  <c r="F6" i="19" s="1"/>
  <c r="G2" i="19"/>
  <c r="G3" i="19"/>
  <c r="G4" i="19"/>
  <c r="G5" i="19"/>
  <c r="G11" i="19" l="1"/>
  <c r="G17" i="19"/>
  <c r="G21" i="19"/>
  <c r="G20" i="19"/>
  <c r="G7" i="19"/>
  <c r="G12" i="19"/>
  <c r="G15" i="19"/>
  <c r="G9" i="19"/>
  <c r="G13" i="19"/>
  <c r="G18" i="19"/>
  <c r="G16" i="19"/>
  <c r="G19" i="19"/>
  <c r="G10" i="19"/>
  <c r="G14" i="19"/>
  <c r="G6" i="19"/>
  <c r="G8" i="19"/>
  <c r="H6" i="19" l="1"/>
  <c r="I6" i="19" s="1"/>
  <c r="H7" i="19"/>
  <c r="I7" i="19" s="1"/>
  <c r="H9" i="19"/>
  <c r="I9" i="19" s="1"/>
  <c r="H15" i="19"/>
  <c r="I15" i="19" s="1"/>
  <c r="H14" i="19"/>
  <c r="I14" i="19" s="1"/>
  <c r="H11" i="19"/>
  <c r="I11" i="19" s="1"/>
  <c r="H19" i="19"/>
  <c r="I19" i="19" s="1"/>
  <c r="H12" i="19"/>
  <c r="I12" i="19" s="1"/>
  <c r="H4" i="19"/>
  <c r="I4" i="19" s="1"/>
  <c r="H10" i="19"/>
  <c r="I10" i="19" s="1"/>
  <c r="H3" i="19"/>
  <c r="I3" i="19" s="1"/>
  <c r="H8" i="19"/>
  <c r="I8" i="19" s="1"/>
  <c r="H20" i="19"/>
  <c r="I20" i="19" s="1"/>
  <c r="H21" i="19"/>
  <c r="I21" i="19" s="1"/>
  <c r="H2" i="19"/>
  <c r="I2" i="19" s="1"/>
  <c r="M8" i="7"/>
  <c r="M9" i="7"/>
  <c r="M10" i="7"/>
  <c r="M11" i="7"/>
  <c r="M12" i="7"/>
  <c r="M13" i="7"/>
  <c r="M14" i="7"/>
  <c r="M15" i="7"/>
  <c r="M16" i="7"/>
  <c r="M17" i="7"/>
  <c r="M18" i="7"/>
  <c r="M19" i="7"/>
  <c r="M20" i="7"/>
  <c r="M21" i="7"/>
  <c r="M22" i="7"/>
  <c r="M23" i="7"/>
  <c r="M24" i="7"/>
  <c r="M25" i="7"/>
  <c r="M26" i="7"/>
  <c r="M27" i="7"/>
  <c r="M7" i="7"/>
  <c r="Q27" i="7"/>
  <c r="W27" i="7" s="1"/>
  <c r="R27" i="7"/>
  <c r="X27" i="7" s="1"/>
  <c r="S27" i="7"/>
  <c r="Y27" i="7" s="1"/>
  <c r="P27" i="7"/>
  <c r="V27" i="7" s="1"/>
  <c r="Q7" i="7"/>
  <c r="W7" i="7" s="1"/>
  <c r="R7" i="7"/>
  <c r="X7" i="7" s="1"/>
  <c r="S7" i="7"/>
  <c r="Y7" i="7" s="1"/>
  <c r="Q8" i="7"/>
  <c r="R8" i="7"/>
  <c r="X8" i="7" s="1"/>
  <c r="S8" i="7"/>
  <c r="Y8" i="7" s="1"/>
  <c r="Q9" i="7"/>
  <c r="R9" i="7"/>
  <c r="X9" i="7" s="1"/>
  <c r="S9" i="7"/>
  <c r="Y9" i="7" s="1"/>
  <c r="Q10" i="7"/>
  <c r="W10" i="7" s="1"/>
  <c r="R10" i="7"/>
  <c r="X10" i="7" s="1"/>
  <c r="S10" i="7"/>
  <c r="Y10" i="7" s="1"/>
  <c r="Q11" i="7"/>
  <c r="W11" i="7" s="1"/>
  <c r="R11" i="7"/>
  <c r="X11" i="7" s="1"/>
  <c r="S11" i="7"/>
  <c r="Y11" i="7" s="1"/>
  <c r="Q12" i="7"/>
  <c r="W12" i="7" s="1"/>
  <c r="R12" i="7"/>
  <c r="X12" i="7" s="1"/>
  <c r="S12" i="7"/>
  <c r="Y12" i="7" s="1"/>
  <c r="Q13" i="7"/>
  <c r="W13" i="7" s="1"/>
  <c r="R13" i="7"/>
  <c r="X13" i="7" s="1"/>
  <c r="S13" i="7"/>
  <c r="Y13" i="7" s="1"/>
  <c r="Q14" i="7"/>
  <c r="W14" i="7" s="1"/>
  <c r="R14" i="7"/>
  <c r="X14" i="7" s="1"/>
  <c r="S14" i="7"/>
  <c r="Y14" i="7" s="1"/>
  <c r="Q15" i="7"/>
  <c r="W15" i="7" s="1"/>
  <c r="R15" i="7"/>
  <c r="X15" i="7" s="1"/>
  <c r="S15" i="7"/>
  <c r="Y15" i="7" s="1"/>
  <c r="Q16" i="7"/>
  <c r="W16" i="7" s="1"/>
  <c r="R16" i="7"/>
  <c r="X16" i="7" s="1"/>
  <c r="S16" i="7"/>
  <c r="Y16" i="7" s="1"/>
  <c r="Q17" i="7"/>
  <c r="R17" i="7"/>
  <c r="X17" i="7" s="1"/>
  <c r="S17" i="7"/>
  <c r="Y17" i="7" s="1"/>
  <c r="Q18" i="7"/>
  <c r="W18" i="7" s="1"/>
  <c r="R18" i="7"/>
  <c r="X18" i="7" s="1"/>
  <c r="S18" i="7"/>
  <c r="Y18" i="7" s="1"/>
  <c r="Q19" i="7"/>
  <c r="W19" i="7" s="1"/>
  <c r="R19" i="7"/>
  <c r="X19" i="7" s="1"/>
  <c r="S19" i="7"/>
  <c r="Y19" i="7" s="1"/>
  <c r="Q20" i="7"/>
  <c r="W20" i="7" s="1"/>
  <c r="R20" i="7"/>
  <c r="X20" i="7" s="1"/>
  <c r="S20" i="7"/>
  <c r="Y20" i="7" s="1"/>
  <c r="Q21" i="7"/>
  <c r="W21" i="7" s="1"/>
  <c r="R21" i="7"/>
  <c r="X21" i="7" s="1"/>
  <c r="S21" i="7"/>
  <c r="Y21" i="7" s="1"/>
  <c r="Q22" i="7"/>
  <c r="W22" i="7" s="1"/>
  <c r="R22" i="7"/>
  <c r="X22" i="7" s="1"/>
  <c r="S22" i="7"/>
  <c r="Y22" i="7" s="1"/>
  <c r="Q23" i="7"/>
  <c r="W23" i="7" s="1"/>
  <c r="R23" i="7"/>
  <c r="X23" i="7" s="1"/>
  <c r="S23" i="7"/>
  <c r="Y23" i="7" s="1"/>
  <c r="Q24" i="7"/>
  <c r="R24" i="7"/>
  <c r="X24" i="7" s="1"/>
  <c r="S24" i="7"/>
  <c r="Y24" i="7" s="1"/>
  <c r="Q25" i="7"/>
  <c r="W25" i="7" s="1"/>
  <c r="R25" i="7"/>
  <c r="X25" i="7" s="1"/>
  <c r="S25" i="7"/>
  <c r="Y25" i="7" s="1"/>
  <c r="Q26" i="7"/>
  <c r="W26" i="7" s="1"/>
  <c r="R26" i="7"/>
  <c r="X26" i="7" s="1"/>
  <c r="S26" i="7"/>
  <c r="Y26" i="7" s="1"/>
  <c r="P8" i="7"/>
  <c r="V8" i="7" s="1"/>
  <c r="P9" i="7"/>
  <c r="V9" i="7" s="1"/>
  <c r="P10" i="7"/>
  <c r="V10" i="7" s="1"/>
  <c r="P11" i="7"/>
  <c r="V11" i="7" s="1"/>
  <c r="P12" i="7"/>
  <c r="P13" i="7"/>
  <c r="V13" i="7" s="1"/>
  <c r="P14" i="7"/>
  <c r="V14" i="7" s="1"/>
  <c r="P15" i="7"/>
  <c r="P16" i="7"/>
  <c r="V16" i="7" s="1"/>
  <c r="P17" i="7"/>
  <c r="V17" i="7" s="1"/>
  <c r="P18" i="7"/>
  <c r="V18" i="7" s="1"/>
  <c r="P19" i="7"/>
  <c r="P20" i="7"/>
  <c r="P21" i="7"/>
  <c r="V21" i="7" s="1"/>
  <c r="P22" i="7"/>
  <c r="V22" i="7" s="1"/>
  <c r="P23" i="7"/>
  <c r="V23" i="7" s="1"/>
  <c r="P24" i="7"/>
  <c r="V24" i="7" s="1"/>
  <c r="P25" i="7"/>
  <c r="V25" i="7" s="1"/>
  <c r="P26" i="7"/>
  <c r="V26" i="7" s="1"/>
  <c r="P7" i="7"/>
  <c r="V7" i="7" s="1"/>
  <c r="T15" i="7" l="1"/>
  <c r="Z15" i="7" s="1"/>
  <c r="T19" i="7"/>
  <c r="Z19" i="7" s="1"/>
  <c r="T17" i="7"/>
  <c r="Z17" i="7" s="1"/>
  <c r="T9" i="7"/>
  <c r="Z9" i="7" s="1"/>
  <c r="T8" i="7"/>
  <c r="Z8" i="7" s="1"/>
  <c r="T21" i="7"/>
  <c r="Z21" i="7" s="1"/>
  <c r="T22" i="7"/>
  <c r="Z22" i="7" s="1"/>
  <c r="V19" i="7"/>
  <c r="T10" i="7"/>
  <c r="Z10" i="7" s="1"/>
  <c r="W9" i="7"/>
  <c r="T24" i="7"/>
  <c r="Z24" i="7" s="1"/>
  <c r="T20" i="7"/>
  <c r="Z20" i="7" s="1"/>
  <c r="T12" i="7"/>
  <c r="Z12" i="7" s="1"/>
  <c r="T14" i="7"/>
  <c r="Z14" i="7" s="1"/>
  <c r="W17" i="7"/>
  <c r="V12" i="7"/>
  <c r="T11" i="7"/>
  <c r="Z11" i="7" s="1"/>
  <c r="W8" i="7"/>
  <c r="W24" i="7"/>
  <c r="V15" i="7"/>
  <c r="T26" i="7"/>
  <c r="Z26" i="7" s="1"/>
  <c r="T18" i="7"/>
  <c r="Z18" i="7" s="1"/>
  <c r="T25" i="7"/>
  <c r="Z25" i="7" s="1"/>
  <c r="T16" i="7"/>
  <c r="Z16" i="7" s="1"/>
  <c r="V20" i="7"/>
  <c r="T23" i="7"/>
  <c r="Z23" i="7" s="1"/>
  <c r="T7" i="7"/>
  <c r="Z7" i="7" s="1"/>
  <c r="T13" i="7"/>
  <c r="Z13" i="7" s="1"/>
  <c r="T27" i="7"/>
  <c r="Z27" i="7" s="1"/>
  <c r="E22" i="19"/>
  <c r="G22" i="19" s="1"/>
  <c r="H22" i="19" s="1"/>
  <c r="I22" i="19" s="1"/>
  <c r="H17" i="19" l="1"/>
  <c r="I17" i="19" s="1"/>
  <c r="H16" i="19"/>
  <c r="I16" i="19" s="1"/>
  <c r="H18" i="19"/>
  <c r="I18" i="19" s="1"/>
  <c r="H5" i="19"/>
  <c r="I5" i="19" s="1"/>
  <c r="H13" i="19"/>
  <c r="I13"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tc={3A213039-EBEC-490F-9F99-6C01FA326323}</author>
    <author>tc={07A9CD21-1D78-46FC-84E7-38BCF2A2DB55}</author>
  </authors>
  <commentList>
    <comment ref="H1" authorId="0" shapeId="0" xr:uid="{3A213039-EBEC-490F-9F99-6C01FA326323}">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O objetivo desta metodologia é buscar o princípio da proporcionalidade, assim sendo, os percentuais de distribuição foram calculados de forma que mesmo se o valor da CFURH fosse dividido equitativamente para os colegiados dentro das respectivas faixas, ainda assim os colegiados com menor arrecadação da cobrança receberiam maiores valores da CFURH. Para aferir esses percentuais, foi utilizado o valor da LOA/CFURH 2020, estimado em R$ 19.747.000. Como pode ser observado na tabela abaixo, os colegiados da faixa 1 receberiam 5,9% dos recursos da CFURH, enquanto os colegiados da faixa 2 receberiam 5,1%, os da faixa 3 receberiam 4,2%, os da faixa 4, 3,3% e o da faixa 5, 2,5%. 
</t>
      </text>
    </comment>
    <comment ref="K1" authorId="1" shapeId="0" xr:uid="{00000000-0006-0000-0000-000001000000}">
      <text>
        <t>[Comentário encadeado]
Sua versão do Excel permite que você leia este comentário encadeado, no entanto, as edições serão removidas se o arquivo for aberto em uma versão mais recente do Excel. Saiba mais: https://go.microsoft.com/fwlink/?linkid=870924
Comentário:
    DOF</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tc={E5FABFB9-639F-4357-9315-7F2A283C5AB1}</author>
    <author>tc={4CC8771C-A9E9-4084-8CD8-B3644670045B}</author>
  </authors>
  <commentList>
    <comment ref="H1" authorId="0" shapeId="0" xr:uid="{00000000-0006-0000-0100-000001000000}">
      <text>
        <t>[Comentário encadeado]
Sua versão do Excel permite que você leia este comentário encadeado, no entanto, as edições serão removidas se o arquivo for aberto em uma versão mais recente do Excel. Saiba mais: https://go.microsoft.com/fwlink/?linkid=870924
Comentário:
    Informações do 1º pleito FEHIDRO disponibilizadas aos CBHs em 23/09</t>
      </text>
    </comment>
    <comment ref="I1" authorId="1" shapeId="0" xr:uid="{00000000-0006-0000-0100-000002000000}">
      <text>
        <t>[Comentário encadeado]
Sua versão do Excel permite que você leia este comentário encadeado, no entanto, as edições serão removidas se o arquivo for aberto em uma versão mais recente do Excel. Saiba mais: https://go.microsoft.com/fwlink/?linkid=870924
Comentário:
    Inclui retornos financeiros  no mesmo ano. Justifica, portanto, o caso do LN (&gt;100%)</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F. de Souza</author>
    <author>tc={967BB559-7046-4750-9A1E-A72EA61259A6}</author>
    <author>tc={7236F994-A5F6-450A-93F3-EE87C0D88FEC}</author>
  </authors>
  <commentList>
    <comment ref="E1" authorId="0" shapeId="0" xr:uid="{00000000-0006-0000-0200-000001000000}">
      <text>
        <r>
          <rPr>
            <b/>
            <sz val="9"/>
            <color indexed="81"/>
            <rFont val="Segoe UI"/>
            <family val="2"/>
          </rPr>
          <t xml:space="preserve">Análise da proporção dos recursos efetivamente indicados anualmente nos pdcs prioritários e os recursos previstos nos pdcs prioritários.
</t>
        </r>
        <r>
          <rPr>
            <sz val="9"/>
            <color indexed="81"/>
            <rFont val="Segoe UI"/>
            <family val="2"/>
          </rPr>
          <t xml:space="preserve">
</t>
        </r>
      </text>
    </comment>
    <comment ref="G1" authorId="0" shapeId="0" xr:uid="{00000000-0006-0000-0200-000002000000}">
      <text>
        <r>
          <rPr>
            <b/>
            <sz val="9"/>
            <color indexed="81"/>
            <rFont val="Segoe UI"/>
            <family val="2"/>
          </rPr>
          <t xml:space="preserve">Total previsto nos PA/PI, com recursos do FEHIDRO, para o ano de 2020. 
</t>
        </r>
      </text>
    </comment>
    <comment ref="H1" authorId="0" shapeId="0" xr:uid="{00000000-0006-0000-0200-000003000000}">
      <text>
        <r>
          <rPr>
            <b/>
            <sz val="9"/>
            <color indexed="81"/>
            <rFont val="Segoe UI"/>
            <family val="2"/>
          </rPr>
          <t xml:space="preserve">Total previsto nos PA/PI, com recursos do FEHIDRO, para o ano de 2020 e para os PDCS que o CBH indicou como prioritário
</t>
        </r>
        <r>
          <rPr>
            <sz val="9"/>
            <color indexed="81"/>
            <rFont val="Segoe UI"/>
            <family val="2"/>
          </rPr>
          <t xml:space="preserve">
</t>
        </r>
      </text>
    </comment>
    <comment ref="I1" authorId="0" shapeId="0" xr:uid="{00000000-0006-0000-0200-000004000000}">
      <text>
        <r>
          <rPr>
            <b/>
            <sz val="9"/>
            <color indexed="81"/>
            <rFont val="Segoe UI"/>
            <family val="2"/>
          </rPr>
          <t>Divisão entre os prioritários previsto no PAPI em 2020 e o total previsto no PAPI em 2020</t>
        </r>
        <r>
          <rPr>
            <sz val="9"/>
            <color indexed="81"/>
            <rFont val="Segoe UI"/>
            <family val="2"/>
          </rPr>
          <t xml:space="preserve">
</t>
        </r>
      </text>
    </comment>
    <comment ref="J1" authorId="1" shapeId="0" xr:uid="{00000000-0006-0000-0200-000005000000}">
      <text>
        <t>[Comentário encadeado]
Sua versão do Excel permite que você leia este comentário encadeado, no entanto, as edições serão removidas se o arquivo for aberto em uma versão mais recente do Excel. Saiba mais: https://go.microsoft.com/fwlink/?linkid=870924
Comentário:
    Fonte: Empreendimentos Sinfehidro 2019-2020</t>
      </text>
    </comment>
    <comment ref="L1" authorId="2" shapeId="0" xr:uid="{7236F994-A5F6-450A-93F3-EE87C0D88FEC}">
      <text>
        <t>[Comentário encadeado]
Sua versão do Excel permite que você leia este comentário encadeado, no entanto, as edições serão removidas se o arquivo for aberto em uma versão mais recente do Excel. Saiba mais: https://go.microsoft.com/fwlink/?linkid=870924
Comentário:
    Divisão entre Indicações nos PDCs prioritário e Indicações Totais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tc={885F9B34-0114-4D49-9D12-6B3C87144244}</author>
    <author>tc={A4490B9F-7DAF-4F7B-BD37-326393C2EA64}</author>
    <author>tc={97B79040-2D2F-455F-954E-0F88162648BC}</author>
    <author>tc={42F277BF-BCF1-4B9D-A5C3-96946C86E826}</author>
    <author>tc={EA6DFE3B-8236-47F9-86BC-AA94AF71C5F1}</author>
    <author>tc={B7250BAA-932D-4335-A489-4FFB45F81125}</author>
    <author>tc={68F3E741-C2E4-4F97-A09F-DC8582083D70}</author>
    <author>tc={BCB471CE-8CD9-4AE4-8B7E-5472AE84C454}</author>
    <author>tc={1C6A2C54-8591-4586-A47A-1F1375C1F0F5}</author>
    <author>tc={5BF1BE50-FD39-4180-BB93-9A5AB7A6F16D}</author>
    <author>tc={B5C2FFCA-39CC-4DF9-87A5-F9AB29D9B6F6}</author>
    <author>tc={F67107DB-4B1A-4F8B-A163-54DE4A232592}</author>
    <author>tc={C2158F09-9CDC-43D9-BAEA-1C907BB96B12}</author>
  </authors>
  <commentList>
    <comment ref="B1" authorId="0" shapeId="0" xr:uid="{00000000-0006-0000-0400-000001000000}">
      <text>
        <t>[Comentário encadeado]
Sua versão do Excel permite que você leia este comentário encadeado, no entanto, as edições serão removidas se o arquivo for aberto em uma versão mais recente do Excel. Saiba mais: https://go.microsoft.com/fwlink/?linkid=870924
Comentário:
    contendo informações atualizadas do Estatuto, representantes dos CBHs, composição das CTs, Atas de Reuniões,Agenda,Apresentação,Deliberações, PBHs e Relatórios de Situação.  Avaliação a partir de 2021</t>
      </text>
    </comment>
    <comment ref="D1" authorId="1" shapeId="0" xr:uid="{00000000-0006-0000-0400-000002000000}">
      <text>
        <t>[Comentário encadeado]
Sua versão do Excel permite que você leia este comentário encadeado, no entanto, as edições serão removidas se o arquivo for aberto em uma versão mais recente do Excel. Saiba mais: https://go.microsoft.com/fwlink/?linkid=870924
Comentário:
    Estatudo do CBH e suas eventuais alterações, acompanhado das deliberações respectivas.</t>
      </text>
    </comment>
    <comment ref="E1" authorId="2" shapeId="0" xr:uid="{00000000-0006-0000-0400-000003000000}">
      <text>
        <t>[Comentário encadeado]
Sua versão do Excel permite que você leia este comentário encadeado, no entanto, as edições serão removidas se o arquivo for aberto em uma versão mais recente do Excel. Saiba mais: https://go.microsoft.com/fwlink/?linkid=870924
Comentário:
    Atas das reuniões realizadas no ano.</t>
      </text>
    </comment>
    <comment ref="F1" authorId="3" shapeId="0" xr:uid="{00000000-0006-0000-0400-000004000000}">
      <text>
        <t>[Comentário encadeado]
Sua versão do Excel permite que você leia este comentário encadeado, no entanto, as edições serão removidas se o arquivo for aberto em uma versão mais recente do Excel. Saiba mais: https://go.microsoft.com/fwlink/?linkid=870924
Comentário:
    Informações vigentes acompanhadas de respectivas deliberações.
Conteúdo mínimo: Nome, entidade e e-mail.</t>
      </text>
    </comment>
    <comment ref="G1" authorId="4" shapeId="0" xr:uid="{00000000-0006-0000-0400-000005000000}">
      <text>
        <t>[Comentário encadeado]
Sua versão do Excel permite que você leia este comentário encadeado, no entanto, as edições serão removidas se o arquivo for aberto em uma versão mais recente do Excel. Saiba mais: https://go.microsoft.com/fwlink/?linkid=870924
Comentário:
    Informações vigentes acompanhadas de respectivas deliberações.
Conteúdo mínimo: Nome, entidade e e-mail.</t>
      </text>
    </comment>
    <comment ref="H1" authorId="5" shapeId="0" xr:uid="{00000000-0006-0000-0400-000006000000}">
      <text>
        <t>[Comentário encadeado]
Sua versão do Excel permite que você leia este comentário encadeado, no entanto, as edições serão removidas se o arquivo for aberto em uma versão mais recente do Excel. Saiba mais: https://go.microsoft.com/fwlink/?linkid=870924
Comentário:
    Agenda do CBH atualizada com as reuniões e eventos do colegiado.</t>
      </text>
    </comment>
    <comment ref="I1" authorId="6" shapeId="0" xr:uid="{00000000-0006-0000-0400-000007000000}">
      <text>
        <t>[Comentário encadeado]
Sua versão do Excel permite que você leia este comentário encadeado, no entanto, as edições serão removidas se o arquivo for aberto em uma versão mais recente do Excel. Saiba mais: https://go.microsoft.com/fwlink/?linkid=870924
Comentário:
    Caracterização geral da UGRHI atualizada</t>
      </text>
    </comment>
    <comment ref="J1" authorId="7" shapeId="0" xr:uid="{00000000-0006-0000-0400-000008000000}">
      <text>
        <t>[Comentário encadeado]
Sua versão do Excel permite que você leia este comentário encadeado, no entanto, as edições serão removidas se o arquivo for aberto em uma versão mais recente do Excel. Saiba mais: https://go.microsoft.com/fwlink/?linkid=870924
Comentário:
    Deliberações do CBH referendadas ou não relativas ao ano anterior à apuração do rateio.</t>
      </text>
    </comment>
    <comment ref="K1" authorId="8" shapeId="0" xr:uid="{00000000-0006-0000-0400-000009000000}">
      <text>
        <t>[Comentário encadeado]
Sua versão do Excel permite que você leia este comentário encadeado, no entanto, as edições serão removidas se o arquivo for aberto em uma versão mais recente do Excel. Saiba mais: https://go.microsoft.com/fwlink/?linkid=870924
Comentário:
    Plano de Bacias vigente com a respectiva deliberação</t>
      </text>
    </comment>
    <comment ref="L1" authorId="9" shapeId="0" xr:uid="{00000000-0006-0000-0400-00000A000000}">
      <text>
        <t>[Comentário encadeado]
Sua versão do Excel permite que você leia este comentário encadeado, no entanto, as edições serão removidas se o arquivo for aberto em uma versão mais recente do Excel. Saiba mais: https://go.microsoft.com/fwlink/?linkid=870924
Comentário:
    PA/PI vigente com a respectiva deliberação</t>
      </text>
    </comment>
    <comment ref="M1" authorId="10" shapeId="0" xr:uid="{00000000-0006-0000-0400-00000B000000}">
      <text>
        <t>[Comentário encadeado]
Sua versão do Excel permite que você leia este comentário encadeado, no entanto, as edições serão removidas se o arquivo for aberto em uma versão mais recente do Excel. Saiba mais: https://go.microsoft.com/fwlink/?linkid=870924
Comentário:
    Relatório de situação vigente com a respectiva deliberação</t>
      </text>
    </comment>
    <comment ref="N1" authorId="11" shapeId="0" xr:uid="{00000000-0006-0000-0400-00000C000000}">
      <text>
        <t>[Comentário encadeado]
Sua versão do Excel permite que você leia este comentário encadeado, no entanto, as edições serão removidas se o arquivo for aberto em uma versão mais recente do Excel. Saiba mais: https://go.microsoft.com/fwlink/?linkid=870924
Comentário:
    Receita anual prevista advinda das fontes Cobrança pelo uso da água</t>
      </text>
    </comment>
    <comment ref="P1" authorId="12" shapeId="0" xr:uid="{00000000-0006-0000-0400-00000D000000}">
      <text>
        <t>[Comentário encadeado]
Sua versão do Excel permite que você leia este comentário encadeado, no entanto, as edições serão removidas se o arquivo for aberto em uma versão mais recente do Excel. Saiba mais: https://go.microsoft.com/fwlink/?linkid=870924
Comentário:
    Informações a respeito da inadimplência da cobrança pelo uso da água.</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tc={38330B8C-4105-4BFD-B4E2-6398FF9914E6}</author>
    <author>tc={4DE6EBC8-5D6B-4ED0-9811-AD14FF9FBE4B}</author>
    <author>tc={0D8585D9-5D53-4792-AE33-30A012D4631B}</author>
    <author>tc={E9FF64C4-A35F-4179-A00C-687F2B1FEF4C}</author>
    <author>tc={34C307C4-F5C3-4387-A2D4-3800B4CAE08E}</author>
  </authors>
  <commentList>
    <comment ref="C1" authorId="0" shapeId="0" xr:uid="{00000000-0006-0000-0500-000001000000}">
      <text>
        <t>[Comentário encadeado]
Sua versão do Excel permite que você leia este comentário encadeado, no entanto, as edições serão removidas se o arquivo for aberto em uma versão mais recente do Excel. Saiba mais: https://go.microsoft.com/fwlink/?linkid=870924
Comentário:
    25% da pontuação total</t>
      </text>
    </comment>
    <comment ref="D1" authorId="1" shapeId="0" xr:uid="{00000000-0006-0000-0500-000002000000}">
      <text>
        <t>[Comentário encadeado]
Sua versão do Excel permite que você leia este comentário encadeado, no entanto, as edições serão removidas se o arquivo for aberto em uma versão mais recente do Excel. Saiba mais: https://go.microsoft.com/fwlink/?linkid=870924
Comentário:
    12,5% da pontuação total</t>
      </text>
    </comment>
    <comment ref="E1" authorId="2" shapeId="0" xr:uid="{00000000-0006-0000-0500-000003000000}">
      <text>
        <t>[Comentário encadeado]
Sua versão do Excel permite que você leia este comentário encadeado, no entanto, as edições serão removidas se o arquivo for aberto em uma versão mais recente do Excel. Saiba mais: https://go.microsoft.com/fwlink/?linkid=870924
Comentário:
    12,5% da pontuação total</t>
      </text>
    </comment>
    <comment ref="F1" authorId="3" shapeId="0" xr:uid="{00000000-0006-0000-0500-000004000000}">
      <text>
        <t>[Comentário encadeado]
Sua versão do Excel permite que você leia este comentário encadeado, no entanto, as edições serão removidas se o arquivo for aberto em uma versão mais recente do Excel. Saiba mais: https://go.microsoft.com/fwlink/?linkid=870924
Comentário:
    50% da pontuação total</t>
      </text>
    </comment>
    <comment ref="I1" authorId="4" shapeId="0" xr:uid="{00000000-0006-0000-0500-000005000000}">
      <text>
        <t>[Comentário encadeado]
Sua versão do Excel permite que você leia este comentário encadeado, no entanto, as edições serão removidas se o arquivo for aberto em uma versão mais recente do Excel. Saiba mais: https://go.microsoft.com/fwlink/?linkid=870924
Comentário:
    Valor cheio da LOA: R$ 26.810.000,00</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tc={5C5F85C5-3D2E-4A07-9FB3-C3FCF1C62CA5}</author>
  </authors>
  <commentList>
    <comment ref="H1" authorId="0" shapeId="0" xr:uid="{00000000-0006-0000-0600-000001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Fonte DOF </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Prioridades PA/PI SUBpdc - fehidro" description="Conexão com a consulta 'Prioridades PA/PI SUBpdc - fehidro' na pasta de trabalho." type="5" refreshedVersion="0" background="1">
    <dbPr connection="Provider=Microsoft.Mashup.OleDb.1;Data Source=$Workbook$;Location=&quot;Prioridades PA/PI SUBpdc - fehidro&quot;;Extended Properties=&quot;&quot;" command="SELECT * FROM [Prioridades PA/PI SUBpdc - fehidro]"/>
  </connection>
  <connection id="2" xr16:uid="{7A6BDB50-FA8A-4DAD-92F6-68BD25B1DDF9}" keepAlive="1" name="Consulta - Prioridades PA/PI ugrhis PDC -  fehidro" description="Conexão com a consulta 'Prioridades PA/PI ugrhis PDC -  fehidro' na pasta de trabalho." type="5" refreshedVersion="6" background="1" saveData="1">
    <dbPr connection="Provider=Microsoft.Mashup.OleDb.1;Data Source=$Workbook$;Location=&quot;Prioridades PA/PI ugrhis PDC -  fehidro&quot;;Extended Properties=&quot;&quot;" command="SELECT * FROM [Prioridades PA/PI ugrhis PDC -  fehidro]"/>
  </connection>
  <connection id="3" xr16:uid="{00000000-0015-0000-FFFF-FFFF03000000}" keepAlive="1" name="ThisWorkbookDataModel" description="Modelo de Dad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4" xr16:uid="{00000000-0015-0000-FFFF-FFFF04000000}" name="WorksheetConnection_V9_Proposta RATEIO CFURH.xlsx!Dim_Colegiado" type="102" refreshedVersion="6" minRefreshableVersion="5">
    <extLst>
      <ext xmlns:x15="http://schemas.microsoft.com/office/spreadsheetml/2010/11/main" uri="{DE250136-89BD-433C-8126-D09CA5730AF9}">
        <x15:connection id="Dim_Colegiado">
          <x15:rangePr sourceName="_xlcn.WorksheetConnection_V9_PropostaRATEIOCFURH.xlsxDim_Colegiado1"/>
        </x15:connection>
      </ext>
    </extLst>
  </connection>
  <connection id="5" xr16:uid="{00000000-0015-0000-FFFF-FFFF05000000}" name="WorksheetConnection_V9_Proposta RATEIO CFURH.xlsx!DIM_SUBPDC" type="102" refreshedVersion="6" minRefreshableVersion="5">
    <extLst>
      <ext xmlns:x15="http://schemas.microsoft.com/office/spreadsheetml/2010/11/main" uri="{DE250136-89BD-433C-8126-D09CA5730AF9}">
        <x15:connection id="DIM_SUBPDC">
          <x15:rangePr sourceName="_xlcn.WorksheetConnection_V9_PropostaRATEIOCFURH.xlsxDIM_SUBPDC1"/>
        </x15:connection>
      </ext>
    </extLst>
  </connection>
  <connection id="6" xr16:uid="{00000000-0015-0000-FFFF-FFFF06000000}" name="WorksheetConnection_V9_Proposta RATEIO CFURH.xlsx!empreend_Fehidro" type="102" refreshedVersion="6" minRefreshableVersion="5">
    <extLst>
      <ext xmlns:x15="http://schemas.microsoft.com/office/spreadsheetml/2010/11/main" uri="{DE250136-89BD-433C-8126-D09CA5730AF9}">
        <x15:connection id="empreend_Fehidro">
          <x15:rangePr sourceName="_xlcn.WorksheetConnection_V9_PropostaRATEIOCFURH.xlsxempreend_Fehidro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<sst xmlns="http://schemas.openxmlformats.org/spreadsheetml/2006/main" count="4775" uniqueCount="1087">
  <si>
    <t>Valor máximo de</t>
  </si>
  <si>
    <t>Potencial de arrecadação da Cobrança (PAC)
R$</t>
  </si>
  <si>
    <t>Faixa (PAC)</t>
  </si>
  <si>
    <t>% de distribuição CFURH-LOA</t>
  </si>
  <si>
    <t>LOA (CFURH) 2020 (R$)</t>
  </si>
  <si>
    <t>nº de Colegiados por faixa de PAC</t>
  </si>
  <si>
    <t>R$ estimado por colegiado em cada faixa</t>
  </si>
  <si>
    <t>% da Divisão equitativa de R$ CFURH por faixa</t>
  </si>
  <si>
    <t>Nº UGRHI</t>
  </si>
  <si>
    <t>Estimativa arrecadação  Cobrança 2020 (R$)</t>
  </si>
  <si>
    <t>Até</t>
  </si>
  <si>
    <t xml:space="preserve">Faixa 1 </t>
  </si>
  <si>
    <t xml:space="preserve">Faixa 2 </t>
  </si>
  <si>
    <t xml:space="preserve">Faixa 3 </t>
  </si>
  <si>
    <t xml:space="preserve">Faixa 4  </t>
  </si>
  <si>
    <t>Acima de</t>
  </si>
  <si>
    <t xml:space="preserve">Faixa 5 </t>
  </si>
  <si>
    <t xml:space="preserve">PROPOSTA  </t>
  </si>
  <si>
    <t>LOA (CFURH) 2020</t>
  </si>
  <si>
    <t>UGRHi</t>
  </si>
  <si>
    <t>Indicador 1
Utilização de Recursos FEHIDRO
(Pontuação)</t>
  </si>
  <si>
    <t>Parâmetro 1.1
% Devolução de empreendimentos FEHIDRO no ano anterior</t>
  </si>
  <si>
    <t>nº total empreendimentos indicados pelo CBH no ano anterior</t>
  </si>
  <si>
    <t>nº total empreendimentos devolvidos pela CRHI no ano anterior</t>
  </si>
  <si>
    <t xml:space="preserve">% de devoluções </t>
  </si>
  <si>
    <t>Parâmetro 1.2
Eficiência de Utilização do R$</t>
  </si>
  <si>
    <t xml:space="preserve">R$ disponível </t>
  </si>
  <si>
    <t>% eficiência da utilização</t>
  </si>
  <si>
    <t>Percentual de 
devolução (%)</t>
  </si>
  <si>
    <t>Escala de devolvidos</t>
  </si>
  <si>
    <t>Pontuação  
Parâmetro 1.1</t>
  </si>
  <si>
    <t>Percentual de utilização do R$ disponível (%)</t>
  </si>
  <si>
    <t>Utilização do R$ disponível</t>
  </si>
  <si>
    <t>Pontuação
Parâmetro 1.2</t>
  </si>
  <si>
    <t>Utilização &lt;= 85</t>
  </si>
  <si>
    <t>0&lt; Devolução &lt;= 5</t>
  </si>
  <si>
    <t>85&lt; Utilização &lt;= 90</t>
  </si>
  <si>
    <t>5&lt; Devolução &lt;= 10</t>
  </si>
  <si>
    <t>90&lt; Utilização &lt;= 95</t>
  </si>
  <si>
    <t>10&lt;Devolução &lt;= 15</t>
  </si>
  <si>
    <t>95&lt;Utilização &lt;= 99</t>
  </si>
  <si>
    <t>Devolução &gt; 15</t>
  </si>
  <si>
    <t>Utilização &gt; 99</t>
  </si>
  <si>
    <t>UGRHI</t>
  </si>
  <si>
    <r>
      <t xml:space="preserve">Indicador 2
Capacitação
</t>
    </r>
    <r>
      <rPr>
        <sz val="9"/>
        <color theme="1"/>
        <rFont val="Verdana"/>
        <family val="2"/>
      </rPr>
      <t>(Pontuação)</t>
    </r>
  </si>
  <si>
    <t>Parâmetro 2.1
% de representantes capacitados</t>
  </si>
  <si>
    <t>Percentual de representantes
 capacitados (%)</t>
  </si>
  <si>
    <t>Pontuação Parâmetro 2.1</t>
  </si>
  <si>
    <t>Capacitados &lt;=10</t>
  </si>
  <si>
    <t>10&lt; Capacitados&lt;=20</t>
  </si>
  <si>
    <t>20&lt; Capacitados&lt;=30</t>
  </si>
  <si>
    <t>30&lt; Capacitados&lt;=40</t>
  </si>
  <si>
    <t>40&lt; Capacitados&lt;=50</t>
  </si>
  <si>
    <t>Capacitados &gt;50</t>
  </si>
  <si>
    <t>Indicador 3
Gestão
(Pontuação)</t>
  </si>
  <si>
    <t>Parâmetro 3.1
Relatório de situação - Pontuação</t>
  </si>
  <si>
    <t>Relatório de situação - avaliação DPG</t>
  </si>
  <si>
    <t xml:space="preserve"> Parâmetro 3.2
Desvio do planejamento nos PDCs prioritários
- Pontuação </t>
  </si>
  <si>
    <t>Desvio do planejamento dos PDCs prioritáros (Planej. - Indic.)
(%)</t>
  </si>
  <si>
    <t xml:space="preserve">Planejamento PA/PI 2020 - (R$) </t>
  </si>
  <si>
    <t>Planejamento PA/PI 2020  nos PDCs prioritários
(R$)</t>
  </si>
  <si>
    <t>Planejamento (%)</t>
  </si>
  <si>
    <t xml:space="preserve">Indicações 2020
  nos PDC prioritários (R$)
</t>
  </si>
  <si>
    <t>Total disponivel (CFURH+ Cob) nos Planos de aplicação - 2020 (R$)</t>
  </si>
  <si>
    <t>Indicações  (%)</t>
  </si>
  <si>
    <t>Nota relatório de situação</t>
  </si>
  <si>
    <t>Relatorio de situação
(avaliação)</t>
  </si>
  <si>
    <t>Pontuação Parâmetro 3.1</t>
  </si>
  <si>
    <t>Desvio do planejamento dos PDCs prioritários (%)</t>
  </si>
  <si>
    <t xml:space="preserve">Desvio do planejamento dos PDCs prioritários 
</t>
  </si>
  <si>
    <t>Pontuação Parâmetro 3.2</t>
  </si>
  <si>
    <t>nota &lt;= 7</t>
  </si>
  <si>
    <t>Desvio &lt;= 20</t>
  </si>
  <si>
    <t>7&lt; nota &lt;= 8</t>
  </si>
  <si>
    <t>Desvio &gt; 20</t>
  </si>
  <si>
    <t>8&lt; nota &lt;= 9</t>
  </si>
  <si>
    <t>nota &gt; 9</t>
  </si>
  <si>
    <r>
      <t xml:space="preserve">Indicador 4
Transparência SIGRH
</t>
    </r>
    <r>
      <rPr>
        <sz val="9"/>
        <rFont val="Verdana"/>
        <family val="2"/>
      </rPr>
      <t>(Pontuação)</t>
    </r>
  </si>
  <si>
    <t>Contagem de Atendimentos</t>
  </si>
  <si>
    <t>Estatuto Parâmetro 4.1</t>
  </si>
  <si>
    <t>Atas de Reuniões Parâmetro 4.2</t>
  </si>
  <si>
    <t>Representantes do Colegiado Parâmetro 4.3</t>
  </si>
  <si>
    <t>Composição das CTs e GTs Parâmetro 4.4</t>
  </si>
  <si>
    <t>Agenda Parâmetro 4.5</t>
  </si>
  <si>
    <t>Caracterização geral da UGRHI Parâmetro 4.6</t>
  </si>
  <si>
    <t>Deliberações CBHs Parâmetro 4.7</t>
  </si>
  <si>
    <t>Plano de Bacias Parâmetro  4.8</t>
  </si>
  <si>
    <t>PAPI Parâmetro 4.9</t>
  </si>
  <si>
    <t>Relat.Sit Parâmetro 4.10</t>
  </si>
  <si>
    <t>Receita anual  estimada - Cob.Parâmetro 4.11</t>
  </si>
  <si>
    <t>Valores arrecadados  acumulados - Cob. Parâmetro 4.12</t>
  </si>
  <si>
    <t>% adimplência da cobrança Parâmetro 4.13</t>
  </si>
  <si>
    <t xml:space="preserve">Atualização do portal  SIGRH </t>
  </si>
  <si>
    <t>Escala</t>
  </si>
  <si>
    <t>Pontuação Indicador 4</t>
  </si>
  <si>
    <t>sim</t>
  </si>
  <si>
    <t>não</t>
  </si>
  <si>
    <t>Atualização &lt;=6</t>
  </si>
  <si>
    <t>Sim</t>
  </si>
  <si>
    <t>6&lt; Atualização &lt;=11</t>
  </si>
  <si>
    <t>Atualização&gt;11</t>
  </si>
  <si>
    <t>Não</t>
  </si>
  <si>
    <t>Faixa de arrecadação da Cobrança</t>
  </si>
  <si>
    <t>Indicador
Gestão
(0 a 10)
25%</t>
  </si>
  <si>
    <t>Indicador
Capacitação
(0 a 5)
12,5%</t>
  </si>
  <si>
    <t>Indicador 
Transparência
(0 ou 5)
12,5%</t>
  </si>
  <si>
    <t>Indicador
Utilização R$ FEHIDRO
(0 a 20)
50%</t>
  </si>
  <si>
    <t>Pontuação final</t>
  </si>
  <si>
    <t>% da pontuação na respectiva faixa</t>
  </si>
  <si>
    <t>Valor final(R$)</t>
  </si>
  <si>
    <t xml:space="preserve">Ano </t>
  </si>
  <si>
    <t>Código de 
empreendimento</t>
  </si>
  <si>
    <t>Situação do 
empreendimento</t>
  </si>
  <si>
    <t>Colegiado</t>
  </si>
  <si>
    <t>Valor pleiteado</t>
  </si>
  <si>
    <t>Devolvido?</t>
  </si>
  <si>
    <t>Razão para devolução</t>
  </si>
  <si>
    <t>suBpdc classifc</t>
  </si>
  <si>
    <t>PDC class</t>
  </si>
  <si>
    <t>Prioridade do PDC no PAPI</t>
  </si>
  <si>
    <t xml:space="preserve">Estrutural?
</t>
  </si>
  <si>
    <t>2020-SM-247</t>
  </si>
  <si>
    <t>SM</t>
  </si>
  <si>
    <t>n/a</t>
  </si>
  <si>
    <t>2020-SM-248</t>
  </si>
  <si>
    <t>2020-PS_COB-108</t>
  </si>
  <si>
    <t>PS</t>
  </si>
  <si>
    <t>2020-PS_COB-104</t>
  </si>
  <si>
    <t>2020-PS_COB-106</t>
  </si>
  <si>
    <t>2020-PS_COB-107</t>
  </si>
  <si>
    <t>2020-PS_COB-103</t>
  </si>
  <si>
    <t>2020-PS_COB-105</t>
  </si>
  <si>
    <t>2020-LN-198</t>
  </si>
  <si>
    <t>LN</t>
  </si>
  <si>
    <t>2020-LN-199</t>
  </si>
  <si>
    <t>2020-LN-201</t>
  </si>
  <si>
    <t>2020-PARDO_COB-39</t>
  </si>
  <si>
    <t>PARDO</t>
  </si>
  <si>
    <t>2020-PARDO_COB-38</t>
  </si>
  <si>
    <t>2020-PARDO_COB-37</t>
  </si>
  <si>
    <t>2020-PARDO_COB-45</t>
  </si>
  <si>
    <t>2020-PARDO-474</t>
  </si>
  <si>
    <t>2020-PARDO_COB-41</t>
  </si>
  <si>
    <t>2020-PARDO-484</t>
  </si>
  <si>
    <t>2020-PARDO_COB-40</t>
  </si>
  <si>
    <t>2020-PARDO_COB-43</t>
  </si>
  <si>
    <t>2020-PARDO_COB-49</t>
  </si>
  <si>
    <t>2020-PARDO_COB-44</t>
  </si>
  <si>
    <t>2020-PARDO_COB-42</t>
  </si>
  <si>
    <t>2020-PARDO_COB-36</t>
  </si>
  <si>
    <t>2020-PARDO_COB-46</t>
  </si>
  <si>
    <t>2020-PARDO_COB-47</t>
  </si>
  <si>
    <t>2020-PARDO_COB-50</t>
  </si>
  <si>
    <t>2020-PARDO-492</t>
  </si>
  <si>
    <t>2020-PCJ_COB-198</t>
  </si>
  <si>
    <t>PCJ</t>
  </si>
  <si>
    <t>2020-PCJ_COB-196</t>
  </si>
  <si>
    <t>2020-PCJ_COB-194</t>
  </si>
  <si>
    <t>2020-PCJ_COB-197</t>
  </si>
  <si>
    <t>2020-PCJ_COB-195</t>
  </si>
  <si>
    <t>2020-PCJ_COB-193</t>
  </si>
  <si>
    <t>2020-PCJ_COB-199</t>
  </si>
  <si>
    <t>2020-PCJ_COB-201</t>
  </si>
  <si>
    <t>2020-PCJ-726</t>
  </si>
  <si>
    <t>2020-PCJ_COB-200</t>
  </si>
  <si>
    <t>2020-AT_COB-99</t>
  </si>
  <si>
    <t>AT</t>
  </si>
  <si>
    <t>2020-AT_COB-102</t>
  </si>
  <si>
    <t>2020-AT_COB-120</t>
  </si>
  <si>
    <t>2020-AT_COB-116</t>
  </si>
  <si>
    <t>2020-AT_COB-107</t>
  </si>
  <si>
    <t>2020-AT_COB-122</t>
  </si>
  <si>
    <t>2020-AT-809</t>
  </si>
  <si>
    <t>2020-AT_COB-106</t>
  </si>
  <si>
    <t>2020-AT_COB-113</t>
  </si>
  <si>
    <t>2020-AT_COB-94</t>
  </si>
  <si>
    <t>2020-AT_COB-100</t>
  </si>
  <si>
    <t>2020-AT_COB-97</t>
  </si>
  <si>
    <t>2020-AT_COB-118</t>
  </si>
  <si>
    <t>2020-AT_COB-95</t>
  </si>
  <si>
    <t>2020-AT_COB-109</t>
  </si>
  <si>
    <t>2020-AT_COB-108</t>
  </si>
  <si>
    <t>2020-AT_COB-117</t>
  </si>
  <si>
    <t>2020-AT_COB-119</t>
  </si>
  <si>
    <t>2020-AT_COB-101</t>
  </si>
  <si>
    <t>2020-AT_COB-110</t>
  </si>
  <si>
    <t>2020-AT_COB-123</t>
  </si>
  <si>
    <t>2020-AT_COB-111</t>
  </si>
  <si>
    <t>2020-AT_COB-105</t>
  </si>
  <si>
    <t>2020-AT_COB-104</t>
  </si>
  <si>
    <t>2020-AT_COB-98</t>
  </si>
  <si>
    <t>2020-AT_COB-96</t>
  </si>
  <si>
    <t>2020-AT_COB-121</t>
  </si>
  <si>
    <t>2020-AT_COB-103</t>
  </si>
  <si>
    <t>2020-AT_COB-112</t>
  </si>
  <si>
    <t>2020-BS_COB-137</t>
  </si>
  <si>
    <t>BS</t>
  </si>
  <si>
    <t>2020-BS_COB-139</t>
  </si>
  <si>
    <t>2020-BS_COB-138</t>
  </si>
  <si>
    <t>2020-BS_COB-140</t>
  </si>
  <si>
    <t>2020-BS-385</t>
  </si>
  <si>
    <t>2020-BS_COB-136</t>
  </si>
  <si>
    <t>2020-SMG_COB-19</t>
  </si>
  <si>
    <t>SMG</t>
  </si>
  <si>
    <t>2020-SMG_COB-21</t>
  </si>
  <si>
    <t>2020-SMG-443</t>
  </si>
  <si>
    <t>2020-SMG_COB-20</t>
  </si>
  <si>
    <t>2020-SMG-444</t>
  </si>
  <si>
    <t>2020-MOGI_COB-52</t>
  </si>
  <si>
    <t>MOGI</t>
  </si>
  <si>
    <t>2020-MOGI_COB-51</t>
  </si>
  <si>
    <t>2020-MOGI_COB-57</t>
  </si>
  <si>
    <t>2020-MOGI_COB-56</t>
  </si>
  <si>
    <t>2020-MOGI-716</t>
  </si>
  <si>
    <t>2020-MOGI_COB-58</t>
  </si>
  <si>
    <t>2020-MOGI-719</t>
  </si>
  <si>
    <t>2020-MOGI_COB-54</t>
  </si>
  <si>
    <t>2020-MOGI_COB-55</t>
  </si>
  <si>
    <t>2020-MOGI_COB-53</t>
  </si>
  <si>
    <t>2020-MOGI_COB-60</t>
  </si>
  <si>
    <t>2020-MOGI_COB-59</t>
  </si>
  <si>
    <t>2020-MOGI_COB-61</t>
  </si>
  <si>
    <t>2020-MOGI-718</t>
  </si>
  <si>
    <t>2020-SMT_COB-299</t>
  </si>
  <si>
    <t>SMT</t>
  </si>
  <si>
    <t>2020-SMT_COB-310</t>
  </si>
  <si>
    <t>2020-SMT_COB-309</t>
  </si>
  <si>
    <t>2020-SMT_COB-311</t>
  </si>
  <si>
    <t>2020-SMT_COB-301</t>
  </si>
  <si>
    <t>2020-SMT_COB-313</t>
  </si>
  <si>
    <t>2020-SMT_COB-315</t>
  </si>
  <si>
    <t>2020-SMT_COB-298</t>
  </si>
  <si>
    <t>2020-SMT_COB-312</t>
  </si>
  <si>
    <t>2020-SMT_COB-317</t>
  </si>
  <si>
    <t>2020-SMT_COB-304</t>
  </si>
  <si>
    <t>2020-SMT_COB-303</t>
  </si>
  <si>
    <t>2020-SMT_COB-316</t>
  </si>
  <si>
    <t>2020-SMT_COB-306</t>
  </si>
  <si>
    <t>2020-SMT_COB-307</t>
  </si>
  <si>
    <t>2020-SMT_COB-302</t>
  </si>
  <si>
    <t>2020-SMT_COB-308</t>
  </si>
  <si>
    <t>2020-SMT_COB-314</t>
  </si>
  <si>
    <t>2020-SMT_COB-305</t>
  </si>
  <si>
    <t>2020-SMT_COB-300</t>
  </si>
  <si>
    <t>2020-RB_COB-44</t>
  </si>
  <si>
    <t>RB</t>
  </si>
  <si>
    <t>2020-RB_COB-47</t>
  </si>
  <si>
    <t>2020-RB_COB-48</t>
  </si>
  <si>
    <t>2020-RB_COB-51</t>
  </si>
  <si>
    <t>2020-RB_COB-53</t>
  </si>
  <si>
    <t>2020-RB_COB-49</t>
  </si>
  <si>
    <t>2020-RB_COB-52</t>
  </si>
  <si>
    <t>2020-RB_COB-54</t>
  </si>
  <si>
    <t>2020-RB-406</t>
  </si>
  <si>
    <t>2020-RB_COB-56</t>
  </si>
  <si>
    <t>2020-RB_COB-40</t>
  </si>
  <si>
    <t>2020-RB_COB-41</t>
  </si>
  <si>
    <t>2020-RB_COB-55</t>
  </si>
  <si>
    <t>2020-RB_COB-50</t>
  </si>
  <si>
    <t>2020-RB-404</t>
  </si>
  <si>
    <t>2020-RB-405</t>
  </si>
  <si>
    <t>2020-RB-408</t>
  </si>
  <si>
    <t>2020-RB_COB-43</t>
  </si>
  <si>
    <t>2020-RB_COB-45</t>
  </si>
  <si>
    <t>2020-RB_COB-42</t>
  </si>
  <si>
    <t>2020-RB_COB-46</t>
  </si>
  <si>
    <t>2020-BPG_COB-17</t>
  </si>
  <si>
    <t>BPG</t>
  </si>
  <si>
    <t>2020-BPG-228</t>
  </si>
  <si>
    <t>2020-BPG_COB-16</t>
  </si>
  <si>
    <t>2020-BPG-227</t>
  </si>
  <si>
    <t>2020-BPG_COB-18</t>
  </si>
  <si>
    <t>2020-TJ_COB-71</t>
  </si>
  <si>
    <t>TJ</t>
  </si>
  <si>
    <t>2020-TJ_COB-85</t>
  </si>
  <si>
    <t>2020-TJ_COB-76</t>
  </si>
  <si>
    <t>2020-TJ_COB-79</t>
  </si>
  <si>
    <t>2020-TJ-502</t>
  </si>
  <si>
    <t>2020-TJ_COB-73</t>
  </si>
  <si>
    <t>2020-TJ_COB-83</t>
  </si>
  <si>
    <t>2020-TJ_COB-77</t>
  </si>
  <si>
    <t>2020-TJ_COB-87</t>
  </si>
  <si>
    <t>2020-TJ_COB-84</t>
  </si>
  <si>
    <t>2020-TJ_COB-72</t>
  </si>
  <si>
    <t>2020-TJ_COB-75</t>
  </si>
  <si>
    <t>2020-TJ_COB-80</t>
  </si>
  <si>
    <t>2020-TJ_COB-82</t>
  </si>
  <si>
    <t>2020-TJ-494</t>
  </si>
  <si>
    <t>2020-TJ_COB-74</t>
  </si>
  <si>
    <t>2020-ALPA-376</t>
  </si>
  <si>
    <t>ALPA</t>
  </si>
  <si>
    <t>2020-ALPA-377</t>
  </si>
  <si>
    <t>2020-ALPA_COB-2</t>
  </si>
  <si>
    <t>2020-ALPA-378</t>
  </si>
  <si>
    <t>2020-TG_COB-10</t>
  </si>
  <si>
    <t>TG</t>
  </si>
  <si>
    <t>2020-TG_COB-12</t>
  </si>
  <si>
    <t>2020-TG_COB-11</t>
  </si>
  <si>
    <t>2020-TB_COB-33</t>
  </si>
  <si>
    <t>TB</t>
  </si>
  <si>
    <t>2020-TB_COB-28</t>
  </si>
  <si>
    <t>2020-TB_COB-30</t>
  </si>
  <si>
    <t>2020-TB_COB-32</t>
  </si>
  <si>
    <t>2020-TB-447</t>
  </si>
  <si>
    <t>2020-TB_COB-26</t>
  </si>
  <si>
    <t>2020-TB_COB-31</t>
  </si>
  <si>
    <t>2020-TB_COB-27</t>
  </si>
  <si>
    <t>2020-TB-446</t>
  </si>
  <si>
    <t>2020-TB_COB-29</t>
  </si>
  <si>
    <t>2020-MP_COB-15</t>
  </si>
  <si>
    <t>MP</t>
  </si>
  <si>
    <t>2020-MP-599</t>
  </si>
  <si>
    <t>2020-MP_COB-17</t>
  </si>
  <si>
    <t>2020-MP_COB-12</t>
  </si>
  <si>
    <t>2020-MP_COB-13</t>
  </si>
  <si>
    <t>2020-MP_COB-14</t>
  </si>
  <si>
    <t>2020-MP_COB-11</t>
  </si>
  <si>
    <t>2020-MP_COB-16</t>
  </si>
  <si>
    <t>2020-SJD-393</t>
  </si>
  <si>
    <t>SJD</t>
  </si>
  <si>
    <t>2020-BT_COB-94</t>
  </si>
  <si>
    <t>BT</t>
  </si>
  <si>
    <t>2020-BT_COB-97</t>
  </si>
  <si>
    <t>2020-BT_COB-96</t>
  </si>
  <si>
    <t>2020-BT_COB-104</t>
  </si>
  <si>
    <t>2020-BT_COB-102</t>
  </si>
  <si>
    <t>2020-BT_COB-98</t>
  </si>
  <si>
    <t>2020-BT_COB-93</t>
  </si>
  <si>
    <t>2020-BT_COB-101</t>
  </si>
  <si>
    <t>2020-BT-739</t>
  </si>
  <si>
    <t>2020-BT_COB-105</t>
  </si>
  <si>
    <t>2020-BT_COB-103</t>
  </si>
  <si>
    <t>2020-BT_COB-100</t>
  </si>
  <si>
    <t>2020-BT_COB-95</t>
  </si>
  <si>
    <t>2020-BT_COB-106</t>
  </si>
  <si>
    <t>2020-BT_COB-107</t>
  </si>
  <si>
    <t>2020-BT-736</t>
  </si>
  <si>
    <t>2020-BT-743</t>
  </si>
  <si>
    <t>2020-BT-747</t>
  </si>
  <si>
    <t>2020-BT_COB-99</t>
  </si>
  <si>
    <t>2020-PP-405</t>
  </si>
  <si>
    <t>PP</t>
  </si>
  <si>
    <t>2020-PP_COB-10</t>
  </si>
  <si>
    <t>2020-PP_COB-6</t>
  </si>
  <si>
    <t>2020-PP_COB-17</t>
  </si>
  <si>
    <t>2020-PP-431</t>
  </si>
  <si>
    <t>2020-PP_COB-7</t>
  </si>
  <si>
    <t>2020-PP_COB-9</t>
  </si>
  <si>
    <t>2020-PP_COB-8</t>
  </si>
  <si>
    <t>2020-PP_COB-16</t>
  </si>
  <si>
    <t>2020-AP_COB-14</t>
  </si>
  <si>
    <t>AP</t>
  </si>
  <si>
    <t>2020-AP-766</t>
  </si>
  <si>
    <t>2020-AP_COB-18</t>
  </si>
  <si>
    <t>2020-AP-765</t>
  </si>
  <si>
    <t>2020-AP_COB-17</t>
  </si>
  <si>
    <t>2020-AP_COB-16</t>
  </si>
  <si>
    <t>2020-AP_COB-15</t>
  </si>
  <si>
    <t>2020-LN-200</t>
  </si>
  <si>
    <t>Proposto</t>
  </si>
  <si>
    <t>Formalidade documentação</t>
  </si>
  <si>
    <t/>
  </si>
  <si>
    <t>2020-PARDO_COB-48</t>
  </si>
  <si>
    <t>Valor mínimo MPO</t>
  </si>
  <si>
    <t>Informação técnica DPG</t>
  </si>
  <si>
    <t>2020-BS-389</t>
  </si>
  <si>
    <t>2020-BS-390</t>
  </si>
  <si>
    <t>2020-SMG-434</t>
  </si>
  <si>
    <t>2020-SMG-436</t>
  </si>
  <si>
    <t>Em análise</t>
  </si>
  <si>
    <t>2020-TJ-499</t>
  </si>
  <si>
    <t>2020-TJ_COB-78</t>
  </si>
  <si>
    <t>Indicação cancelada pelo CBH</t>
  </si>
  <si>
    <t>2020-TJ_COB-81</t>
  </si>
  <si>
    <t>2020-TJ_COB-86</t>
  </si>
  <si>
    <t>2020-ALPA-379</t>
  </si>
  <si>
    <t>2020-ALPA_COB-1</t>
  </si>
  <si>
    <t>MPO</t>
  </si>
  <si>
    <t>2020-TB-448</t>
  </si>
  <si>
    <t>2020-TB-449</t>
  </si>
  <si>
    <t>2020-MP-588</t>
  </si>
  <si>
    <t>2020-MP-589</t>
  </si>
  <si>
    <t>2020-BT-727</t>
  </si>
  <si>
    <t>2020-BT-731</t>
  </si>
  <si>
    <t>2020-BT_COB-90</t>
  </si>
  <si>
    <t>2020-BT_COB-92</t>
  </si>
  <si>
    <t>2020-BT-737</t>
  </si>
  <si>
    <t>2020-PP-407</t>
  </si>
  <si>
    <t>2020-PP-408</t>
  </si>
  <si>
    <t>2020-PP_COB-11</t>
  </si>
  <si>
    <t>2020-PP_COB-12</t>
  </si>
  <si>
    <t>2020-PP_COB-13</t>
  </si>
  <si>
    <t>2020-PP_COB-14</t>
  </si>
  <si>
    <t>2020-PP_COB-15</t>
  </si>
  <si>
    <t>2020-AP-763</t>
  </si>
  <si>
    <t>2020-AP-764</t>
  </si>
  <si>
    <t>2019-SM-237</t>
  </si>
  <si>
    <t>Em execução</t>
  </si>
  <si>
    <t>2019-SM-232</t>
  </si>
  <si>
    <t>2019-SM-244</t>
  </si>
  <si>
    <t>2019-SM-238</t>
  </si>
  <si>
    <t>2019-SM-243</t>
  </si>
  <si>
    <t>2019-SM-245</t>
  </si>
  <si>
    <t>2019-SM-239</t>
  </si>
  <si>
    <t>2019-SM-234</t>
  </si>
  <si>
    <t>2019-SM-240</t>
  </si>
  <si>
    <t>2019-SM-242</t>
  </si>
  <si>
    <t>2019-SM-236</t>
  </si>
  <si>
    <t>Não iniciado</t>
  </si>
  <si>
    <t>2019-SM-235</t>
  </si>
  <si>
    <t>2019-PS_COB-102</t>
  </si>
  <si>
    <t>Cancelado</t>
  </si>
  <si>
    <t>2019-PS-408</t>
  </si>
  <si>
    <t>2019-PS-414</t>
  </si>
  <si>
    <t>2019-PS-409</t>
  </si>
  <si>
    <t>2019-PS_COB-88</t>
  </si>
  <si>
    <t>2019-PS_COB-90</t>
  </si>
  <si>
    <t>2019-PS_COB-91</t>
  </si>
  <si>
    <t>2019-PS_COB-95</t>
  </si>
  <si>
    <t>2019-PS-407</t>
  </si>
  <si>
    <t>2019-PS_COB-99</t>
  </si>
  <si>
    <t>2019-PS_COB-94</t>
  </si>
  <si>
    <t>2019-PS_COB-89</t>
  </si>
  <si>
    <t>2019-PS_COB-96</t>
  </si>
  <si>
    <t>2019-PS_COB-100</t>
  </si>
  <si>
    <t>2019-PS_COB-92</t>
  </si>
  <si>
    <t>2019-PS_COB-93</t>
  </si>
  <si>
    <t>2019-PS_COB-101</t>
  </si>
  <si>
    <t>2019-LN-194</t>
  </si>
  <si>
    <t>2019-LN-197</t>
  </si>
  <si>
    <t>2019-LN-196</t>
  </si>
  <si>
    <t>2019-LN-195</t>
  </si>
  <si>
    <t>2019-PARDO-433</t>
  </si>
  <si>
    <t>2019-PARDO-437</t>
  </si>
  <si>
    <t>2019-PARDO-445</t>
  </si>
  <si>
    <t>2019-PARDO-454</t>
  </si>
  <si>
    <t>2019-PARDO-421</t>
  </si>
  <si>
    <t>2019-PARDO_COB-15</t>
  </si>
  <si>
    <t>2019-PARDO_COB-18</t>
  </si>
  <si>
    <t>2019-PARDO-430</t>
  </si>
  <si>
    <t>2019-PARDO-440</t>
  </si>
  <si>
    <t>2019-PARDO-425</t>
  </si>
  <si>
    <t>2019-PARDO_COB-26</t>
  </si>
  <si>
    <t>2019-PARDO_COB-23</t>
  </si>
  <si>
    <t>2019-PARDO_COB-17</t>
  </si>
  <si>
    <t>2019-PARDO_COB-24</t>
  </si>
  <si>
    <t>2019-PARDO_COB-25</t>
  </si>
  <si>
    <t>2019-PARDO_COB-21</t>
  </si>
  <si>
    <t>2019-PARDO_COB-30</t>
  </si>
  <si>
    <t>2019-PARDO_COB-19</t>
  </si>
  <si>
    <t>2019-PARDO_COB-22</t>
  </si>
  <si>
    <t>2019-PARDO-429</t>
  </si>
  <si>
    <t>2019-PARDO-435</t>
  </si>
  <si>
    <t>2019-PARDO_COB-16</t>
  </si>
  <si>
    <t>2019-PARDO_COB-33</t>
  </si>
  <si>
    <t>2019-PARDO_COB-35</t>
  </si>
  <si>
    <t>2019-PARDO_COB-27</t>
  </si>
  <si>
    <t>2019-PARDO_COB-34</t>
  </si>
  <si>
    <t>2019-PARDO_COB-31</t>
  </si>
  <si>
    <t>2019-PARDO_COB-20</t>
  </si>
  <si>
    <t>2019-PARDO_COB-32</t>
  </si>
  <si>
    <t>2019-PCJ-712</t>
  </si>
  <si>
    <t>2019-PCJ_COB-191</t>
  </si>
  <si>
    <t>2019-PCJ_COB-189</t>
  </si>
  <si>
    <t>2019-PCJ_COB-190</t>
  </si>
  <si>
    <t>2019-PCJ_COB-192</t>
  </si>
  <si>
    <t>2019-PCJ_COB-188</t>
  </si>
  <si>
    <t>2019-AT-770</t>
  </si>
  <si>
    <t>2019-AT-751</t>
  </si>
  <si>
    <t>2019-AT-756</t>
  </si>
  <si>
    <t>2019-AT_COB-92</t>
  </si>
  <si>
    <t>2019-AT_COB-73</t>
  </si>
  <si>
    <t>2019-AT_COB-74</t>
  </si>
  <si>
    <t>2019-AT_COB-91</t>
  </si>
  <si>
    <t>2019-AT_COB-82</t>
  </si>
  <si>
    <t>2019-AT_COB-79</t>
  </si>
  <si>
    <t>2019-AT_COB-88</t>
  </si>
  <si>
    <t>2019-AT_COB-89</t>
  </si>
  <si>
    <t>2019-AT_COB-87</t>
  </si>
  <si>
    <t>2019-AT_COB-90</t>
  </si>
  <si>
    <t>2019-AT_COB-84</t>
  </si>
  <si>
    <t>2019-AT_COB-72</t>
  </si>
  <si>
    <t>2019-AT_COB-76</t>
  </si>
  <si>
    <t>2019-AT_COB-86</t>
  </si>
  <si>
    <t>2019-AT_COB-75</t>
  </si>
  <si>
    <t>2019-AT_COB-71</t>
  </si>
  <si>
    <t>2019-AT_COB-81</t>
  </si>
  <si>
    <t>2019-AT_COB-93</t>
  </si>
  <si>
    <t>2019-AT_COB-80</t>
  </si>
  <si>
    <t>2019-BS_COB-102</t>
  </si>
  <si>
    <t>2019-BS_COB-108</t>
  </si>
  <si>
    <t>2019-BS_COB-113</t>
  </si>
  <si>
    <t>2019-BS_COB-117</t>
  </si>
  <si>
    <t>2019-BS_COB-128</t>
  </si>
  <si>
    <t>2019-BS_COB-132</t>
  </si>
  <si>
    <t>2019-BS_COB-133</t>
  </si>
  <si>
    <t>2019-BS_COB-95</t>
  </si>
  <si>
    <t>2019-BS_COB-106</t>
  </si>
  <si>
    <t>2019-BS_COB-125</t>
  </si>
  <si>
    <t>2019-BS_COB-130</t>
  </si>
  <si>
    <t>2019-BS_COB-94</t>
  </si>
  <si>
    <t>2019-BS_COB-97</t>
  </si>
  <si>
    <t>2019-BS_COB-98</t>
  </si>
  <si>
    <t>2019-BS_COB-99</t>
  </si>
  <si>
    <t>2019-BS-343</t>
  </si>
  <si>
    <t>2019-BS_COB-116</t>
  </si>
  <si>
    <t>2019-BS_COB-115</t>
  </si>
  <si>
    <t>2019-BS_COB-124</t>
  </si>
  <si>
    <t>2019-BS_COB-92</t>
  </si>
  <si>
    <t>2019-BS_COB-109</t>
  </si>
  <si>
    <t>2019-BS_COB-131</t>
  </si>
  <si>
    <t>2019-BS_COB-111</t>
  </si>
  <si>
    <t>2019-BS_COB-119</t>
  </si>
  <si>
    <t>2019-BS_COB-114</t>
  </si>
  <si>
    <t>2019-BS_COB-96</t>
  </si>
  <si>
    <t>2019-BS_COB-112</t>
  </si>
  <si>
    <t>2019-BS_COB-118</t>
  </si>
  <si>
    <t>2019-BS_COB-107</t>
  </si>
  <si>
    <t>2019-BS_COB-110</t>
  </si>
  <si>
    <t>2019-BS_COB-121</t>
  </si>
  <si>
    <t>2019-BS_COB-101</t>
  </si>
  <si>
    <t>2019-BS_COB-100</t>
  </si>
  <si>
    <t>2019-BS_COB-105</t>
  </si>
  <si>
    <t>2019-BS_COB-103</t>
  </si>
  <si>
    <t>2019-BS_COB-91</t>
  </si>
  <si>
    <t>2019-BS_COB-93</t>
  </si>
  <si>
    <t>2019-BS_COB-129</t>
  </si>
  <si>
    <t>2019-BS_COB-134</t>
  </si>
  <si>
    <t>2019-BS_COB-135</t>
  </si>
  <si>
    <t>2019-BS_COB-127</t>
  </si>
  <si>
    <t>2019-BS_COB-126</t>
  </si>
  <si>
    <t>2019-BS_COB-122</t>
  </si>
  <si>
    <t>2019-SMG-407</t>
  </si>
  <si>
    <t>2019-SMG-425</t>
  </si>
  <si>
    <t>2019-SMG-430</t>
  </si>
  <si>
    <t>2019-SMG-431</t>
  </si>
  <si>
    <t>2019-SMG_COB-12</t>
  </si>
  <si>
    <t>2019-SMG-432</t>
  </si>
  <si>
    <t>2019-SMG_COB-11</t>
  </si>
  <si>
    <t>2019-SMG-408</t>
  </si>
  <si>
    <t>2019-SMG-406</t>
  </si>
  <si>
    <t>2019-SMG-409</t>
  </si>
  <si>
    <t>2019-SMG-421</t>
  </si>
  <si>
    <t>2019-SMG-413</t>
  </si>
  <si>
    <t>2019-SMG_COB-8</t>
  </si>
  <si>
    <t>2019-SMG_COB-13</t>
  </si>
  <si>
    <t>2019-SMG_COB-10</t>
  </si>
  <si>
    <t>2019-SMG_COB-9</t>
  </si>
  <si>
    <t>2019-SMG_COB-16</t>
  </si>
  <si>
    <t>2019-MOGI-674</t>
  </si>
  <si>
    <t>2019-MOGI-677</t>
  </si>
  <si>
    <t>2019-MOGI_COB-19</t>
  </si>
  <si>
    <t>2019-MOGI_COB-31</t>
  </si>
  <si>
    <t>2019-MOGI_COB-23</t>
  </si>
  <si>
    <t>2019-MOGI-672</t>
  </si>
  <si>
    <t>2019-MOGI-670</t>
  </si>
  <si>
    <t>2019-MOGI-678</t>
  </si>
  <si>
    <t>2019-MOGI-665</t>
  </si>
  <si>
    <t>2019-MOGI-652</t>
  </si>
  <si>
    <t>2019-MOGI-691</t>
  </si>
  <si>
    <t>2019-MOGI_COB-43</t>
  </si>
  <si>
    <t>2019-MOGI_COB-48</t>
  </si>
  <si>
    <t>2019-MOGI_COB-15</t>
  </si>
  <si>
    <t>2019-MOGI_COB-28</t>
  </si>
  <si>
    <t>2019-MOGI_COB-26</t>
  </si>
  <si>
    <t>2019-MOGI_COB-17</t>
  </si>
  <si>
    <t>2019-MOGI_COB-16</t>
  </si>
  <si>
    <t>2019-MOGI_COB-39</t>
  </si>
  <si>
    <t>2019-MOGI_COB-22</t>
  </si>
  <si>
    <t>2019-MOGI_COB-13</t>
  </si>
  <si>
    <t>2019-MOGI_COB-37</t>
  </si>
  <si>
    <t>2019-MOGI_COB-12</t>
  </si>
  <si>
    <t>2019-MOGI_COB-14</t>
  </si>
  <si>
    <t>2019-MOGI_COB-20</t>
  </si>
  <si>
    <t>2019-MOGI_COB-27</t>
  </si>
  <si>
    <t>2019-MOGI_COB-29</t>
  </si>
  <si>
    <t>2019-MOGI_COB-33</t>
  </si>
  <si>
    <t>2019-MOGI_COB-40</t>
  </si>
  <si>
    <t>2019-MOGI_COB-47</t>
  </si>
  <si>
    <t>2019-MOGI_COB-21</t>
  </si>
  <si>
    <t>2019-MOGI_COB-34</t>
  </si>
  <si>
    <t>2019-MOGI_COB-49</t>
  </si>
  <si>
    <t>2019-MOGI_COB-41</t>
  </si>
  <si>
    <t>2019-MOGI-664</t>
  </si>
  <si>
    <t>2019-MOGI-700</t>
  </si>
  <si>
    <t>2019-MOGI_COB-24</t>
  </si>
  <si>
    <t>2019-MOGI_COB-38</t>
  </si>
  <si>
    <t>2019-MOGI_COB-32</t>
  </si>
  <si>
    <t>2019-MOGI_COB-35</t>
  </si>
  <si>
    <t>2019-MOGI_COB-11</t>
  </si>
  <si>
    <t>2019-MOGI_COB-42</t>
  </si>
  <si>
    <t>2019-MOGI_COB-46</t>
  </si>
  <si>
    <t>2019-MOGI_COB-25</t>
  </si>
  <si>
    <t>2019-MOGI_COB-45</t>
  </si>
  <si>
    <t>2019-MOGI_COB-44</t>
  </si>
  <si>
    <t>2019-MOGI_COB-50</t>
  </si>
  <si>
    <t>2019-MOGI_COB-36</t>
  </si>
  <si>
    <t>2019-MOGI_COB-30</t>
  </si>
  <si>
    <t>2019-SMT-733</t>
  </si>
  <si>
    <t>2019-SMT-741</t>
  </si>
  <si>
    <t>2019-SMT-707</t>
  </si>
  <si>
    <t>2019-SMT_COB-264</t>
  </si>
  <si>
    <t>2019-SMT_COB-267</t>
  </si>
  <si>
    <t>2019-SMT_COB-268</t>
  </si>
  <si>
    <t>2019-SMT_COB-272</t>
  </si>
  <si>
    <t>2019-SMT_COB-274</t>
  </si>
  <si>
    <t>2019-SMT_COB-275</t>
  </si>
  <si>
    <t>2019-SMT_COB-278</t>
  </si>
  <si>
    <t>2019-SMT_COB-282</t>
  </si>
  <si>
    <t>2019-SMT_COB-283</t>
  </si>
  <si>
    <t>2019-SMT_COB-285</t>
  </si>
  <si>
    <t>2019-SMT_COB-288</t>
  </si>
  <si>
    <t>2019-SMT_COB-291</t>
  </si>
  <si>
    <t>2019-SMT_COB-279</t>
  </si>
  <si>
    <t>2019-SMT-723</t>
  </si>
  <si>
    <t>2019-SMT-739</t>
  </si>
  <si>
    <t>2019-SMT_COB-280</t>
  </si>
  <si>
    <t>2019-SMT_COB-271</t>
  </si>
  <si>
    <t>2019-SMT_COB-265</t>
  </si>
  <si>
    <t>2019-SMT_COB-290</t>
  </si>
  <si>
    <t>2019-SMT_COB-286</t>
  </si>
  <si>
    <t>2019-SMT_COB-284</t>
  </si>
  <si>
    <t>2019-SMT_COB-289</t>
  </si>
  <si>
    <t>2019-SMT_COB-276</t>
  </si>
  <si>
    <t>2019-SMT-738</t>
  </si>
  <si>
    <t>2019-SMT-740</t>
  </si>
  <si>
    <t>2019-SMT-712</t>
  </si>
  <si>
    <t>2019-SMT-745</t>
  </si>
  <si>
    <t>2019-SMT-713</t>
  </si>
  <si>
    <t>2019-SMT_COB-293</t>
  </si>
  <si>
    <t>2019-SMT_COB-295</t>
  </si>
  <si>
    <t>2019-SMT_COB-270</t>
  </si>
  <si>
    <t>2019-SMT_COB-287</t>
  </si>
  <si>
    <t>2019-SMT_COB-277</t>
  </si>
  <si>
    <t>2019-SMT_COB-281</t>
  </si>
  <si>
    <t>2019-SMT_COB-263</t>
  </si>
  <si>
    <t>2019-SMT_COB-266</t>
  </si>
  <si>
    <t>2019-SMT_COB-296</t>
  </si>
  <si>
    <t>2019-SMT_COB-292</t>
  </si>
  <si>
    <t>2019-SMT_COB-294</t>
  </si>
  <si>
    <t>2019-RB-357</t>
  </si>
  <si>
    <t>PDC 1 e 2</t>
  </si>
  <si>
    <t>2019-RB-383</t>
  </si>
  <si>
    <t>2019-RB_COB-32</t>
  </si>
  <si>
    <t>2019-RB_COB-37</t>
  </si>
  <si>
    <t>2019-RB-379</t>
  </si>
  <si>
    <t>2019-RB-370</t>
  </si>
  <si>
    <t>2019-RB-369</t>
  </si>
  <si>
    <t>2019-RB_COB-30</t>
  </si>
  <si>
    <t>2019-RB_COB-26</t>
  </si>
  <si>
    <t>2019-RB_COB-11</t>
  </si>
  <si>
    <t>2019-RB_COB-23</t>
  </si>
  <si>
    <t>2019-RB_COB-19</t>
  </si>
  <si>
    <t>2019-RB_COB-15</t>
  </si>
  <si>
    <t>2019-RB_COB-17</t>
  </si>
  <si>
    <t>2019-RB_COB-12</t>
  </si>
  <si>
    <t>2019-RB_COB-34</t>
  </si>
  <si>
    <t>2019-RB_COB-35</t>
  </si>
  <si>
    <t>2019-RB_COB-13</t>
  </si>
  <si>
    <t>2019-RB_COB-29</t>
  </si>
  <si>
    <t>2019-RB-403</t>
  </si>
  <si>
    <t>2019-RB-355</t>
  </si>
  <si>
    <t>2019-RB-382</t>
  </si>
  <si>
    <t>2019-RB-363</t>
  </si>
  <si>
    <t>2019-RB-374</t>
  </si>
  <si>
    <t>2019-RB-373</t>
  </si>
  <si>
    <t>2019-RB-377</t>
  </si>
  <si>
    <t>2019-RB_COB-24</t>
  </si>
  <si>
    <t>2019-RB_COB-10</t>
  </si>
  <si>
    <t>2019-RB_COB-9</t>
  </si>
  <si>
    <t>2019-RB_COB-38</t>
  </si>
  <si>
    <t>2019-RB_COB-14</t>
  </si>
  <si>
    <t>2019-RB_COB-21</t>
  </si>
  <si>
    <t>2019-RB_COB-27</t>
  </si>
  <si>
    <t>2019-RB_COB-25</t>
  </si>
  <si>
    <t>2019-RB_COB-20</t>
  </si>
  <si>
    <t>2019-RB_COB-18</t>
  </si>
  <si>
    <t>2019-RB_COB-22</t>
  </si>
  <si>
    <t>2019-RB_COB-28</t>
  </si>
  <si>
    <t>2019-RB_COB-31</t>
  </si>
  <si>
    <t>2019-RB_COB-33</t>
  </si>
  <si>
    <t>2019-BPG_COB-13</t>
  </si>
  <si>
    <t>2019-BPG_COB-9</t>
  </si>
  <si>
    <t>Concluído</t>
  </si>
  <si>
    <t>2019-BPG_COB-8</t>
  </si>
  <si>
    <t>2019-BPG-223</t>
  </si>
  <si>
    <t>2019-BPG-225</t>
  </si>
  <si>
    <t>2019-BPG-216</t>
  </si>
  <si>
    <t>2019-BPG-215</t>
  </si>
  <si>
    <t>2019-BPG_COB-15</t>
  </si>
  <si>
    <t>2019-BPG_COB-11</t>
  </si>
  <si>
    <t>2019-BPG_COB-14</t>
  </si>
  <si>
    <t>2019-BPG-218</t>
  </si>
  <si>
    <t>2019-BPG_COB-12</t>
  </si>
  <si>
    <t>2019-TJ-485</t>
  </si>
  <si>
    <t>Não prioritário</t>
  </si>
  <si>
    <t>2019-TJ-488</t>
  </si>
  <si>
    <t>2019-TJ_COB-54</t>
  </si>
  <si>
    <t>2019-TJ-489</t>
  </si>
  <si>
    <t>2019-TJ-491</t>
  </si>
  <si>
    <t>2019-TJ_COB-65</t>
  </si>
  <si>
    <t>2019-TJ_COB-66</t>
  </si>
  <si>
    <t>2019-TJ_COB-63</t>
  </si>
  <si>
    <t>2019-TJ_COB-67</t>
  </si>
  <si>
    <t>2019-TJ-487</t>
  </si>
  <si>
    <t>2019-TJ-484</t>
  </si>
  <si>
    <t>2019-TJ-483</t>
  </si>
  <si>
    <t>2019-TJ-490</t>
  </si>
  <si>
    <t>2019-TJ-486</t>
  </si>
  <si>
    <t>2019-TJ_COB-68</t>
  </si>
  <si>
    <t>2019-TJ_COB-64</t>
  </si>
  <si>
    <t>2019-TJ_COB-62</t>
  </si>
  <si>
    <t>2019-TJ_COB-69</t>
  </si>
  <si>
    <t>2019-ALPA-362</t>
  </si>
  <si>
    <t>2019-ALPA-373</t>
  </si>
  <si>
    <t>2019-ALPA-368</t>
  </si>
  <si>
    <t>2019-ALPA-367</t>
  </si>
  <si>
    <t>2019-ALPA-372</t>
  </si>
  <si>
    <t>2019-ALPA-364</t>
  </si>
  <si>
    <t>2019-ALPA-371</t>
  </si>
  <si>
    <t>2019-ALPA-361</t>
  </si>
  <si>
    <t>2019-ALPA-363</t>
  </si>
  <si>
    <t>2019-ALPA-365</t>
  </si>
  <si>
    <t>2019-ALPA-366</t>
  </si>
  <si>
    <t>2019-ALPA-370</t>
  </si>
  <si>
    <t>2019-ALPA-369</t>
  </si>
  <si>
    <t>2019-TG_COB-2</t>
  </si>
  <si>
    <t>2019-TG_COB-7</t>
  </si>
  <si>
    <t>2019-TG-530</t>
  </si>
  <si>
    <t>2019-TG-531</t>
  </si>
  <si>
    <t>2019-TG-548</t>
  </si>
  <si>
    <t>2019-TG_COB-5</t>
  </si>
  <si>
    <t>2019-TG_COB-1</t>
  </si>
  <si>
    <t>2019-TG_COB-9</t>
  </si>
  <si>
    <t>2019-TG_COB-6</t>
  </si>
  <si>
    <t>2019-TG_COB-4</t>
  </si>
  <si>
    <t>2019-TG-534</t>
  </si>
  <si>
    <t>2019-TG-536</t>
  </si>
  <si>
    <t>2019-TG_COB-3</t>
  </si>
  <si>
    <t>2019-TB-424</t>
  </si>
  <si>
    <t>2019-TB-426</t>
  </si>
  <si>
    <t>2019-TB-428</t>
  </si>
  <si>
    <t>2019-TB-438</t>
  </si>
  <si>
    <t>2019-TB-442</t>
  </si>
  <si>
    <t>2019-TB-443</t>
  </si>
  <si>
    <t>2019-TB_COB-20</t>
  </si>
  <si>
    <t>2019-TB_COB-21</t>
  </si>
  <si>
    <t>2019-TB_COB-22</t>
  </si>
  <si>
    <t>2019-TB-422</t>
  </si>
  <si>
    <t>2019-TB-441</t>
  </si>
  <si>
    <t>2019-TB-440</t>
  </si>
  <si>
    <t>2019-TB_COB-25</t>
  </si>
  <si>
    <t>2019-TB_COB-19</t>
  </si>
  <si>
    <t>2019-TB_COB-23</t>
  </si>
  <si>
    <t>2019-TB_COB-18</t>
  </si>
  <si>
    <t>2019-TB_COB-24</t>
  </si>
  <si>
    <t>2019-TB-425</t>
  </si>
  <si>
    <t>2019-TB-429</t>
  </si>
  <si>
    <t>2019-TB-439</t>
  </si>
  <si>
    <t>2019-TB-427</t>
  </si>
  <si>
    <t>2019-TB-423</t>
  </si>
  <si>
    <t>2019-TB_COB-17</t>
  </si>
  <si>
    <t>2019-MP_COB-7</t>
  </si>
  <si>
    <t>Prioritário</t>
  </si>
  <si>
    <t>2019-MP-582</t>
  </si>
  <si>
    <t>2019-MP-571</t>
  </si>
  <si>
    <t>2019-MP-557</t>
  </si>
  <si>
    <t>2019-MP-584</t>
  </si>
  <si>
    <t>2019-MP-577</t>
  </si>
  <si>
    <t>2019-MP_COB-2</t>
  </si>
  <si>
    <t>2019-MP_COB-1</t>
  </si>
  <si>
    <t>2019-MP_COB-5</t>
  </si>
  <si>
    <t>2019-MP_COB-6</t>
  </si>
  <si>
    <t>2019-MP_COB-9</t>
  </si>
  <si>
    <t>2019-MP_COB-4</t>
  </si>
  <si>
    <t>2019-MP_COB-3</t>
  </si>
  <si>
    <t>2019-MP_COB-8</t>
  </si>
  <si>
    <t>2019-MP-567</t>
  </si>
  <si>
    <t>2019-MP-569</t>
  </si>
  <si>
    <t>2019-MP-570</t>
  </si>
  <si>
    <t>2019-MP-583</t>
  </si>
  <si>
    <t>2019-MP-566</t>
  </si>
  <si>
    <t>2019-MP_COB-10</t>
  </si>
  <si>
    <t>2019-SJD-386</t>
  </si>
  <si>
    <t>2019-SJD-381</t>
  </si>
  <si>
    <t>2019-SJD-382</t>
  </si>
  <si>
    <t>2019-SJD-385</t>
  </si>
  <si>
    <t>2019-SJD-380</t>
  </si>
  <si>
    <t>2019-SJD-379</t>
  </si>
  <si>
    <t>2019-SJD-384</t>
  </si>
  <si>
    <t>2019-SJD-383</t>
  </si>
  <si>
    <t>2019-BT-706</t>
  </si>
  <si>
    <t>2019-BT_COB-73</t>
  </si>
  <si>
    <t>2019-BT_COB-85</t>
  </si>
  <si>
    <t>2019-BT_COB-78</t>
  </si>
  <si>
    <t>2019-BT-699</t>
  </si>
  <si>
    <t>2019-BT_COB-84</t>
  </si>
  <si>
    <t>2019-BT_COB-88</t>
  </si>
  <si>
    <t>2019-BT_COB-75</t>
  </si>
  <si>
    <t>2019-BT_COB-79</t>
  </si>
  <si>
    <t>2019-BT_COB-89</t>
  </si>
  <si>
    <t>2019-BT_COB-81</t>
  </si>
  <si>
    <t>2019-BT_COB-77</t>
  </si>
  <si>
    <t>2019-BT_COB-74</t>
  </si>
  <si>
    <t>2019-BT_COB-72</t>
  </si>
  <si>
    <t>2019-BT_COB-70</t>
  </si>
  <si>
    <t>2019-BT_COB-76</t>
  </si>
  <si>
    <t>2019-BT-700</t>
  </si>
  <si>
    <t>2019-BT-681</t>
  </si>
  <si>
    <t>2019-BT-698</t>
  </si>
  <si>
    <t>2019-BT-702</t>
  </si>
  <si>
    <t>2019-BT_COB-87</t>
  </si>
  <si>
    <t>2019-BT_COB-83</t>
  </si>
  <si>
    <t>2019-BT_COB-80</t>
  </si>
  <si>
    <t>2019-BT_COB-82</t>
  </si>
  <si>
    <t>2019-BT_COB-71</t>
  </si>
  <si>
    <t>2019-PP-396</t>
  </si>
  <si>
    <t>2019-PP-400</t>
  </si>
  <si>
    <t>2019-PP-403</t>
  </si>
  <si>
    <t>2019-PP-397</t>
  </si>
  <si>
    <t>2019-PP-392</t>
  </si>
  <si>
    <t>2019-PP-393</t>
  </si>
  <si>
    <t>2019-PP_COB-5</t>
  </si>
  <si>
    <t>2019-PP_COB-2</t>
  </si>
  <si>
    <t>2019-PP-401</t>
  </si>
  <si>
    <t>2019-PP-391</t>
  </si>
  <si>
    <t>2019-PP-394</t>
  </si>
  <si>
    <t>2019-PP-395</t>
  </si>
  <si>
    <t>2019-PP_COB-3</t>
  </si>
  <si>
    <t>2019-PP_COB-4</t>
  </si>
  <si>
    <t>2019-AP-747</t>
  </si>
  <si>
    <t>2019-AP_COB-3</t>
  </si>
  <si>
    <t>2019-AP-742</t>
  </si>
  <si>
    <t>2019-AP-740</t>
  </si>
  <si>
    <t>2019-AP-741</t>
  </si>
  <si>
    <t>2019-AP-739</t>
  </si>
  <si>
    <t>2019-AP-758</t>
  </si>
  <si>
    <t>2019-AP-743</t>
  </si>
  <si>
    <t>2019-AP_COB-4</t>
  </si>
  <si>
    <t>2019-AP_COB-8</t>
  </si>
  <si>
    <t>2019-AP_COB-5</t>
  </si>
  <si>
    <t>2019-AP_COB-9</t>
  </si>
  <si>
    <t>2019-AP_COB-1</t>
  </si>
  <si>
    <t>2019-AP_COB-11</t>
  </si>
  <si>
    <t>2019-AP-744</t>
  </si>
  <si>
    <t>2019-AP-757</t>
  </si>
  <si>
    <t>2019-AP_COB-2</t>
  </si>
  <si>
    <t>2019-AP_COB-7</t>
  </si>
  <si>
    <t>2019-AP_COB-6</t>
  </si>
  <si>
    <t>2019-AP_COB-13</t>
  </si>
  <si>
    <t>2019-AP_COB-12</t>
  </si>
  <si>
    <t>2019-CORHI-180</t>
  </si>
  <si>
    <t>CORHI</t>
  </si>
  <si>
    <t>2019-CORHI-178</t>
  </si>
  <si>
    <t>2019-CORHI-179</t>
  </si>
  <si>
    <t>PDC</t>
  </si>
  <si>
    <t>SECRETARIA INFRAESTRUTURA E MEIO AMBIENTE - COORDENADORIA DE RECURSOS HÍDRICOS</t>
  </si>
  <si>
    <t xml:space="preserve">DEPARTAMENTO DE OPERACIONALIZAÇÃO DO FEHIDRO / SECRETARIA EXECUTIVA DO COFEHIDRO                                                                                                                                                                                                                                                                                                                                                                                                                                                                                                                                                                                                                                                    </t>
  </si>
  <si>
    <t xml:space="preserve">UGRHi </t>
  </si>
  <si>
    <t>Responsável p/ Cobrança</t>
  </si>
  <si>
    <t>Índice de Adimplência *</t>
  </si>
  <si>
    <t>Previsão de Arrecadação</t>
  </si>
  <si>
    <t>Previsão de Arrecadação com aplicação do percentual de adimplência</t>
  </si>
  <si>
    <t>Porcentagem Média Anual</t>
  </si>
  <si>
    <t>Quadriênio</t>
  </si>
  <si>
    <t>01 - Serra da Mantiqueira</t>
  </si>
  <si>
    <t>DAEE</t>
  </si>
  <si>
    <t>02 - Paraíba do Sul</t>
  </si>
  <si>
    <t>03 - Litoral Norte</t>
  </si>
  <si>
    <t>Sem Cobrança</t>
  </si>
  <si>
    <t>04 - PARDO</t>
  </si>
  <si>
    <t>05 - Piracibaba, Capivari e Jundiaí</t>
  </si>
  <si>
    <t>FABH-PCJ</t>
  </si>
  <si>
    <t>06 - Alto Tietê</t>
  </si>
  <si>
    <t>FABHAT</t>
  </si>
  <si>
    <t>07 - Baixada Santista</t>
  </si>
  <si>
    <t>08 - Sapucaí-Mirim / Grande</t>
  </si>
  <si>
    <t>09 - MOGI-Guaçu</t>
  </si>
  <si>
    <t>10 - Sorocaba e Médio Tietê</t>
  </si>
  <si>
    <t>FABH-SMT</t>
  </si>
  <si>
    <t>11 - Ribeira de Iguape e Litoral Sul</t>
  </si>
  <si>
    <t>12 - Baixo Pardo / Grande</t>
  </si>
  <si>
    <t>13 - Tietê Jacaré</t>
  </si>
  <si>
    <t>14 - Alto Paranapanema</t>
  </si>
  <si>
    <t>15 - Turvo Grande</t>
  </si>
  <si>
    <t>16 - Tietê Batalha</t>
  </si>
  <si>
    <t>17 - Médio Paranapanema</t>
  </si>
  <si>
    <t>18 - São José dos Dourados</t>
  </si>
  <si>
    <t>19 - Baixo Tietê</t>
  </si>
  <si>
    <t>20 / 21 - Aguapeí/Peixe</t>
  </si>
  <si>
    <t>22 - Pontal do Paranapanema</t>
  </si>
  <si>
    <t>Responsável pela Cobrança</t>
  </si>
  <si>
    <r>
      <t xml:space="preserve">Estimativa PPA (R$) </t>
    </r>
    <r>
      <rPr>
        <b/>
        <vertAlign val="superscript"/>
        <sz val="9"/>
        <color theme="1"/>
        <rFont val="Arial"/>
        <family val="2"/>
      </rPr>
      <t>(1) (2)</t>
    </r>
    <r>
      <rPr>
        <b/>
        <sz val="9"/>
        <color theme="1"/>
        <rFont val="Arial"/>
        <family val="2"/>
      </rPr>
      <t xml:space="preserve"> </t>
    </r>
  </si>
  <si>
    <r>
      <t xml:space="preserve"> Valor Arrecadado em 2018 (R$) </t>
    </r>
    <r>
      <rPr>
        <b/>
        <vertAlign val="superscript"/>
        <sz val="9"/>
        <color theme="1"/>
        <rFont val="Arial"/>
        <family val="2"/>
      </rPr>
      <t>(1)</t>
    </r>
  </si>
  <si>
    <t>Estimativa LOA 2019 (R$)</t>
  </si>
  <si>
    <r>
      <t xml:space="preserve">Estimativa PPA (R$) </t>
    </r>
    <r>
      <rPr>
        <b/>
        <vertAlign val="superscript"/>
        <sz val="9"/>
        <color theme="1"/>
        <rFont val="Arial"/>
        <family val="2"/>
      </rPr>
      <t>(2) (3)</t>
    </r>
    <r>
      <rPr>
        <b/>
        <sz val="9"/>
        <color theme="1"/>
        <rFont val="Arial"/>
        <family val="2"/>
      </rPr>
      <t xml:space="preserve"> </t>
    </r>
  </si>
  <si>
    <t>Valor Arrecadado (R$)</t>
  </si>
  <si>
    <r>
      <t xml:space="preserve">Nº de contratos </t>
    </r>
    <r>
      <rPr>
        <b/>
        <vertAlign val="superscript"/>
        <sz val="9"/>
        <color theme="1"/>
        <rFont val="Arial"/>
        <family val="2"/>
      </rPr>
      <t xml:space="preserve">(3) </t>
    </r>
  </si>
  <si>
    <r>
      <t xml:space="preserve">Nº de contratos </t>
    </r>
    <r>
      <rPr>
        <b/>
        <vertAlign val="superscript"/>
        <sz val="9"/>
        <color theme="1"/>
        <rFont val="Arial"/>
        <family val="2"/>
      </rPr>
      <t xml:space="preserve">(4) </t>
    </r>
  </si>
  <si>
    <t>00 - CFURH</t>
  </si>
  <si>
    <t>22 - Pontal do Paranepanema</t>
  </si>
  <si>
    <t>Totais</t>
  </si>
  <si>
    <t>Notas:</t>
  </si>
  <si>
    <t>(1) - Conforme Demonstrativos mensais encaminhados pelo Agente Financeiro Banco do Brasil</t>
  </si>
  <si>
    <t>(1) - Observar a progressividade da cobrança (se aplicável) e índice de adimplência</t>
  </si>
  <si>
    <t>(2) - Observar a progressividade da cobrança (se aplicável) e índice de adimplência</t>
  </si>
  <si>
    <t>(2) - Considerar receitas efetivamente arrecadadas no ano (regime de caixa)</t>
  </si>
  <si>
    <t>(3) - Considerar receitas efetivamente arrecadadas no ano (regime de caixa)</t>
  </si>
  <si>
    <t>(3) - Estimar nº de contratos que serão assinados com base no valor médio de indicação praticado ou a praticar.</t>
  </si>
  <si>
    <t>(4 ) - Estimar nº de contratos que serão assinados com base no valor médio de indicação praticado ou a praticar.</t>
  </si>
  <si>
    <t>Estimativa de disponibilidade pela CFURH 2020 (R$)</t>
  </si>
  <si>
    <t>N º Contratos 2020</t>
  </si>
  <si>
    <t>Estimativa de disponibilidade pela CFURH 2021 (R$)</t>
  </si>
  <si>
    <t>N º Contratos 2021</t>
  </si>
  <si>
    <t>Estimativa de disponibilidade pela CFURH 2022 (R$)</t>
  </si>
  <si>
    <t>N º Contratos 2022</t>
  </si>
  <si>
    <t>Estimativa de disponibilidade pela CFURH 2023 (R$)</t>
  </si>
  <si>
    <t>N º Contratos 2023</t>
  </si>
  <si>
    <t>Entidade que realiza Cobrança</t>
  </si>
  <si>
    <t>Valor Arrecadado 2020 (R$)</t>
  </si>
  <si>
    <r>
      <t xml:space="preserve">Nº de contratos 2020 </t>
    </r>
    <r>
      <rPr>
        <b/>
        <vertAlign val="superscript"/>
        <sz val="9"/>
        <color theme="1"/>
        <rFont val="Arial"/>
        <family val="2"/>
      </rPr>
      <t xml:space="preserve">(3) </t>
    </r>
  </si>
  <si>
    <t>Valor Arrecadado (R$)
2021</t>
  </si>
  <si>
    <r>
      <t xml:space="preserve">Nº de contratos </t>
    </r>
    <r>
      <rPr>
        <b/>
        <vertAlign val="superscript"/>
        <sz val="9"/>
        <color theme="1"/>
        <rFont val="Arial"/>
        <family val="2"/>
      </rPr>
      <t xml:space="preserve">(3) </t>
    </r>
    <r>
      <rPr>
        <b/>
        <sz val="9"/>
        <color theme="1"/>
        <rFont val="Arial"/>
        <family val="2"/>
      </rPr>
      <t xml:space="preserve">
2021</t>
    </r>
  </si>
  <si>
    <t>Valor Arrecadado (R$)
2022</t>
  </si>
  <si>
    <r>
      <t xml:space="preserve">Nº de contratos </t>
    </r>
    <r>
      <rPr>
        <b/>
        <vertAlign val="superscript"/>
        <sz val="12"/>
        <color theme="1"/>
        <rFont val="Arial"/>
        <family val="2"/>
      </rPr>
      <t>(3) 
2022</t>
    </r>
    <r>
      <rPr>
        <b/>
        <sz val="12"/>
        <color theme="1"/>
        <rFont val="Arial"/>
        <family val="2"/>
      </rPr>
      <t xml:space="preserve">
</t>
    </r>
  </si>
  <si>
    <t>Valor Arrecadado (R$)
2023</t>
  </si>
  <si>
    <r>
      <t xml:space="preserve">Nº de contratos </t>
    </r>
    <r>
      <rPr>
        <b/>
        <vertAlign val="superscript"/>
        <sz val="9"/>
        <color theme="1"/>
        <rFont val="Arial"/>
        <family val="2"/>
      </rPr>
      <t>(3) 
2023</t>
    </r>
  </si>
  <si>
    <t>Nota:</t>
  </si>
  <si>
    <t>(1 ) - Estimar nº de contratos que serão assinados com base no valor médio de indicação praticado ou a praticar.</t>
  </si>
  <si>
    <t>Critérios para estimativa de Receita:</t>
  </si>
  <si>
    <t>Orçamento 2019 + 50% do Ajuste Anual 2019</t>
  </si>
  <si>
    <t>Orçamento 2019 + 45% do Ajuste Anual 2019</t>
  </si>
  <si>
    <t>Orçamento 2019 + 40% do Ajuste Anual 2019</t>
  </si>
  <si>
    <t>Orçamento 2019 + 35% do Ajuste Anual 2019</t>
  </si>
  <si>
    <t>1º PERÍODO DE INDICAÇÃO</t>
  </si>
  <si>
    <t>COMITÊ</t>
  </si>
  <si>
    <t>DELIB.</t>
  </si>
  <si>
    <t>R$ PLANO DE APLICAÇÃO</t>
  </si>
  <si>
    <t>R$ INDICADO</t>
  </si>
  <si>
    <t>Qtd. INDICADA</t>
  </si>
  <si>
    <t>R$ DEVOLVIDO</t>
  </si>
  <si>
    <t>Qtd. DEVOLVIDA</t>
  </si>
  <si>
    <t>SALDO</t>
  </si>
  <si>
    <t>COLEGIADO</t>
  </si>
  <si>
    <t>Plano de aplicação</t>
  </si>
  <si>
    <t>94.564,59</t>
  </si>
  <si>
    <t>200.556,05</t>
  </si>
  <si>
    <t>263.242,91</t>
  </si>
  <si>
    <t xml:space="preserve"> -   </t>
  </si>
  <si>
    <t>3.567.527,11</t>
  </si>
  <si>
    <t>271.516,25</t>
  </si>
  <si>
    <t>756.495,32</t>
  </si>
  <si>
    <t>1.278.084,54</t>
  </si>
  <si>
    <t>276.059,06</t>
  </si>
  <si>
    <t>149.715,43</t>
  </si>
  <si>
    <t>100.474,64</t>
  </si>
  <si>
    <t>160.000,00</t>
  </si>
  <si>
    <t>423.398,05</t>
  </si>
  <si>
    <t>253/256</t>
  </si>
  <si>
    <t>1.061.772,42</t>
  </si>
  <si>
    <t>238.096,00</t>
  </si>
  <si>
    <t>323.136,90</t>
  </si>
  <si>
    <t>103.692,30</t>
  </si>
  <si>
    <t>346.681,08</t>
  </si>
  <si>
    <t>TOTAL</t>
  </si>
  <si>
    <t>342.196.688,42</t>
  </si>
  <si>
    <t>206.198.146,24</t>
  </si>
  <si>
    <t>9.615.012,65</t>
  </si>
  <si>
    <t>145.613.554,83</t>
  </si>
  <si>
    <t>UGRHI comp</t>
  </si>
  <si>
    <t>pdc cod</t>
  </si>
  <si>
    <t>Sub PDC</t>
  </si>
  <si>
    <t>subpdc cod</t>
  </si>
  <si>
    <t>subpdc cod2</t>
  </si>
  <si>
    <t>Sub PDC nome completo</t>
  </si>
  <si>
    <t>Abrangência do Sub PDC</t>
  </si>
  <si>
    <t>PDC 1 - Bases Técnicas em Recursos Hídricos (BRH)</t>
  </si>
  <si>
    <t>1.1 - Bases e Sistemas de Informação</t>
  </si>
  <si>
    <t>Bases de dados e sistemas de informações em recursos hídricos</t>
  </si>
  <si>
    <t>Sistemas de informações e bases de dados.</t>
  </si>
  <si>
    <t>1.2 - Apoio ao planejamento</t>
  </si>
  <si>
    <t>Apoio ao planejamento e gestão de recursos hídricos</t>
  </si>
  <si>
    <t>Estudos, levantamentos ou diagnósticos para suporte à gestão de recursos hídricos.</t>
  </si>
  <si>
    <t>1.3 - Enquadramento</t>
  </si>
  <si>
    <t>Enquadramento dos corpos de água em classes, segundo os usos preponderantes da água</t>
  </si>
  <si>
    <t>Estudo específico para proposta de enquadramento dos corpos de água.</t>
  </si>
  <si>
    <t>04 - Pardo</t>
  </si>
  <si>
    <t>1.4 - Monitoramento</t>
  </si>
  <si>
    <t>Redes de monitoramento</t>
  </si>
  <si>
    <t>Redes de qualidade e quantidade das águas e disponibilizacao de dados e informacoes.</t>
  </si>
  <si>
    <t>1.5 - Disponibilidade</t>
  </si>
  <si>
    <t>Disponibilidade Hídrica</t>
  </si>
  <si>
    <t>Estudos específicos sobre segurança hídrica.</t>
  </si>
  <si>
    <t>1.6 - Legislação</t>
  </si>
  <si>
    <t>Legislação</t>
  </si>
  <si>
    <t>Estudos específicos sobre a legislação ou normatização afeta aos recursos hídricos.</t>
  </si>
  <si>
    <t>1.7 - Fontes de poluição</t>
  </si>
  <si>
    <t>Fontes de poluição das águas</t>
  </si>
  <si>
    <t>Estudos e dados sobre poluição das águas.</t>
  </si>
  <si>
    <t>PDC 2 - Gerenciamento dos Recursos Hídricos (GRH)</t>
  </si>
  <si>
    <t>2.1 - PRH e RS</t>
  </si>
  <si>
    <t>Planos de Recursos Hídricos e Relatórios de Situação</t>
  </si>
  <si>
    <t>Elaboração do PBH, do RS e outros vinculados ao SIGRH.</t>
  </si>
  <si>
    <t>2.2 - Outorga</t>
  </si>
  <si>
    <t>Outorga de direitos de uso dos recursos hídricos</t>
  </si>
  <si>
    <t>Ações de controle dos usos da água.</t>
  </si>
  <si>
    <t>2.3 - Cobrança</t>
  </si>
  <si>
    <t>Cobrança pelo uso dos recursos hídricos</t>
  </si>
  <si>
    <t>Ações vinculadas à implementação da Cobrança.</t>
  </si>
  <si>
    <t>2.4 - Enquadramento</t>
  </si>
  <si>
    <t>Implementação do enquadramento dos corpos de água em classes, segundo os usos preponderantes da água</t>
  </si>
  <si>
    <t>Ações vinculadas à efetivação do enquadramento dos corpos de água.</t>
  </si>
  <si>
    <t>2.5 - Gestão integrada</t>
  </si>
  <si>
    <t>Articulação e cooperação para a gestão integrada dos recursos hídricos</t>
  </si>
  <si>
    <t>Ações voltadas ao planejamento e gestão integrada dos recursos hídricos.</t>
  </si>
  <si>
    <t>2.6 - Infraestrutura do CORHI</t>
  </si>
  <si>
    <t>Apoio à infraestrutura dos órgãos do CORHI</t>
  </si>
  <si>
    <t>Ações de apoio aos órgãos do CORHI na execução de suas funções.</t>
  </si>
  <si>
    <t>PDC 3 - Melhoria e Recuperação da Qualidade das Águas (MRQ)</t>
  </si>
  <si>
    <t>3.1 - Sist. esgotamento</t>
  </si>
  <si>
    <t>Sistema de esgotamento sanitário</t>
  </si>
  <si>
    <t>Projetos e obras de sistemas de esgotamento sanitário.</t>
  </si>
  <si>
    <t>3.2 - Sist. de resíduos</t>
  </si>
  <si>
    <t>Sistema de resíduos sólidos</t>
  </si>
  <si>
    <t>Projetos e obras de sistemas de manejo de resíduos sólidos desde que para minimizar comprometimento dos recursos hídricos.</t>
  </si>
  <si>
    <t>3.3 - Sist. de drenagem</t>
  </si>
  <si>
    <t>Sistema de drenagem de águas pluviais</t>
  </si>
  <si>
    <t>Projetos e obras de sistemas urbanos de drenagemdesde que para contenção da poluição difusa.</t>
  </si>
  <si>
    <t>3.4 - Prevenção de erosão</t>
  </si>
  <si>
    <t>Prevenção e controle de processos erosivos</t>
  </si>
  <si>
    <t>Projetos e obras de controle da erosão e assoreamento para garantir a qualidade das águas.</t>
  </si>
  <si>
    <t>3.5 - Intervenções</t>
  </si>
  <si>
    <t>Intervenções em corpos d´água</t>
  </si>
  <si>
    <t>Projetos e obras de intervenção para garantir a qualidade das águas.</t>
  </si>
  <si>
    <t>PDC 4 - Proteção dos corpos d'água (PCA)</t>
  </si>
  <si>
    <t>4.1 - Proteção de mananciais</t>
  </si>
  <si>
    <t>Proteção e conservação de mananciais</t>
  </si>
  <si>
    <t>Projetos e obras para garantir o aproveitamento múltiplo da água e a recuperação de mananciais.</t>
  </si>
  <si>
    <t>4.2 - Cobertura vegetal</t>
  </si>
  <si>
    <t>Recomposição da vegetação ciliar e da cobertura vegetal</t>
  </si>
  <si>
    <t>Projetos e ações de recomposição da vegetação vinculados a produção de água.</t>
  </si>
  <si>
    <t>20/21 - Aguapeí/Peixe</t>
  </si>
  <si>
    <t>PDC 5 - Gestão da demanda de água (GDA)</t>
  </si>
  <si>
    <t>5.1 - Controle de perdas</t>
  </si>
  <si>
    <t>Controle de perdas em sistemas de abastecimento de água</t>
  </si>
  <si>
    <t>Projetos e obras de controle de perdas na rede pública de abastecimento.</t>
  </si>
  <si>
    <t>5.2 - Uso racional</t>
  </si>
  <si>
    <t>Racionalização do uso da água</t>
  </si>
  <si>
    <t>Projetos e obras para redução do consumo de água.</t>
  </si>
  <si>
    <t>5.3 - Reuso</t>
  </si>
  <si>
    <t>Reuso da água</t>
  </si>
  <si>
    <t>Projetos e obras de reuso da água.</t>
  </si>
  <si>
    <t>PDC 6 - Aproveitamento dos Recursos Hídricos (ARH)</t>
  </si>
  <si>
    <t>6.1 - Usos múltiplos</t>
  </si>
  <si>
    <t>Aproveitamento múltiplo e controle dos recursos hídricos</t>
  </si>
  <si>
    <t>Projetos e obras de aproveitamento múltiplo e compartilhado.</t>
  </si>
  <si>
    <t>6.2 - Segurança hídrica</t>
  </si>
  <si>
    <t>Segurança hídrica das populações e dessedentação animal</t>
  </si>
  <si>
    <t>Projetos e obras vinculados à garantir o abastecimento prioritário.</t>
  </si>
  <si>
    <t>6.3 Aprveitamento regional</t>
  </si>
  <si>
    <t>Aproveitamento de recursos hídricos de interesse regional</t>
  </si>
  <si>
    <t>Projetos e e obras hidráulicas regionais.</t>
  </si>
  <si>
    <t>PDC 7 - Eventos Hidrológicos Extremos (EHE)</t>
  </si>
  <si>
    <t>7.1 - Monitoramento de EHE</t>
  </si>
  <si>
    <t>Monitoramento de eventos extremos e sistemas de suporte a decisão</t>
  </si>
  <si>
    <t>Redes meteorológicos e telemétricas e apoio à defesa civil.</t>
  </si>
  <si>
    <t>7.2 - Mitigação de inundações</t>
  </si>
  <si>
    <t>Ações estruturais para mitigação de inundações e alagamentos</t>
  </si>
  <si>
    <t>Projetos e obras hidráulicas de controle de vazão da água.</t>
  </si>
  <si>
    <t>7.3 - Mitigação de estiagem</t>
  </si>
  <si>
    <t>Ações estruturais para mitigação de estiagem</t>
  </si>
  <si>
    <t>Projetos e obras hidráulicas temporárias ou emergenciais em situações de crise.</t>
  </si>
  <si>
    <t>PDC 8 - Capacitação e comunicação social (CCS)</t>
  </si>
  <si>
    <t>8.1 - Capacitação técnica</t>
  </si>
  <si>
    <t>Capacitação técnica relacionada ao planejamento e gestão de recursos hídricos</t>
  </si>
  <si>
    <t>Treinamento e capacitação técnica vinculados ao planejamento e gestão dos recursos hídricos.</t>
  </si>
  <si>
    <t>8.2 - Educ. ambiental</t>
  </si>
  <si>
    <t>Educação ambiental vinculada às ações dos planos de recursos hídricos</t>
  </si>
  <si>
    <t>Ações educativas vinculadas aos PDCs priorizados</t>
  </si>
  <si>
    <t>8.3 - Comunicação</t>
  </si>
  <si>
    <t>Comunicação social e difusão de informações relacionadas à gestão de recursos hídricos</t>
  </si>
  <si>
    <t>Ações de comunicação e difusão vinculadas ao PBH.</t>
  </si>
  <si>
    <t>ugrhi</t>
  </si>
  <si>
    <t>PrioridadePDC_</t>
  </si>
  <si>
    <t>Soma2020</t>
  </si>
  <si>
    <t>Soma2020-23</t>
  </si>
  <si>
    <t>Nota: Esses valores estão sendo puxados via "power query"  de uma consulta de dados. Deve-se clicar com o botão direito e atualizar manualmente quando houver mudanças no PAPI.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</si>
</sst>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43" formatCode="_-* #,##0.00_-;\-* #,##0.00_-;_-* &quot;-&quot;??_-;_-@_-"/>
    <numFmt numFmtId="164" formatCode="_(* #,##0.00_);_(* \(#,##0.00\);_(* &quot;-&quot;??_);_(@_)"/>
    <numFmt numFmtId="165" formatCode="0.0%"/>
    <numFmt numFmtId="166" formatCode="#,##0.0"/>
  </numFmts>
  <fonts count="54">
    <font>
      <sz val="11"/>
      <color theme="1"/>
      <name val="Calibri"/>
      <family val="2"/>
      <scheme val="minor"/>
    </font>
    <font>
      <sz val="11"/>
      <color theme="1"/>
      <name val="Calibri"/>
      <family val="2"/>
      <scheme val="minor"/>
    </font>
    <font>
      <sz val="9"/>
      <color theme="1"/>
      <name val="Arial"/>
      <family val="2"/>
    </font>
    <font>
      <b/>
      <sz val="9"/>
      <color theme="1"/>
      <name val="Arial"/>
      <family val="2"/>
    </font>
    <font>
      <b/>
      <vertAlign val="superscript"/>
      <sz val="9"/>
      <color theme="1"/>
      <name val="Arial"/>
      <family val="2"/>
    </font>
    <font>
      <sz val="9"/>
      <name val="Arial"/>
      <family val="2"/>
    </font>
    <font>
      <sz val="10"/>
      <name val="Arial"/>
      <family val="2"/>
    </font>
    <font>
      <sz val="9"/>
      <color rgb="FF000000"/>
      <name val="Arial"/>
      <family val="2"/>
    </font>
    <font>
      <sz val="10"/>
      <color theme="1"/>
      <name val="Arial"/>
      <family val="2"/>
    </font>
    <font>
      <b/>
      <sz val="12"/>
      <color theme="1"/>
      <name val="Arial"/>
      <family val="2"/>
    </font>
    <font>
      <b/>
      <vertAlign val="superscript"/>
      <sz val="12"/>
      <color theme="1"/>
      <name val="Arial"/>
      <family val="2"/>
    </font>
    <font>
      <b/>
      <sz val="11"/>
      <color theme="1"/>
      <name val="Calibri"/>
      <family val="2"/>
      <scheme val="minor"/>
    </font>
    <font>
      <sz val="12"/>
      <name val="Arial"/>
      <family val="2"/>
    </font>
    <font>
      <sz val="8"/>
      <name val="Calibri"/>
      <family val="2"/>
      <scheme val="minor"/>
    </font>
    <font>
      <u/>
      <sz val="11"/>
      <color theme="10"/>
      <name val="Calibri"/>
      <family val="2"/>
      <scheme val="minor"/>
    </font>
    <font>
      <sz val="8"/>
      <color rgb="FF333333"/>
      <name val="Verdana"/>
      <family val="2"/>
    </font>
    <font>
      <sz val="11"/>
      <color rgb="FF000000"/>
      <name val="Calibri"/>
      <family val="2"/>
    </font>
    <font>
      <sz val="11"/>
      <color theme="1"/>
      <name val="Calibri"/>
      <family val="2"/>
    </font>
    <font>
      <sz val="11"/>
      <color rgb="FFFF0000"/>
      <name val="Calibri"/>
      <family val="2"/>
    </font>
    <font>
      <b/>
      <sz val="10"/>
      <name val="Verdana"/>
      <family val="2"/>
    </font>
    <font>
      <sz val="10"/>
      <name val="Verdana"/>
      <family val="2"/>
    </font>
    <font>
      <b/>
      <sz val="10"/>
      <color theme="1"/>
      <name val="Verdana"/>
      <family val="2"/>
    </font>
    <font>
      <sz val="10"/>
      <color theme="1"/>
      <name val="Verdana"/>
      <family val="2"/>
    </font>
    <font>
      <sz val="10"/>
      <color rgb="FF000000"/>
      <name val="Verdana"/>
      <family val="2"/>
    </font>
    <font>
      <sz val="8"/>
      <color theme="1"/>
      <name val="Verdana"/>
      <family val="2"/>
    </font>
    <font>
      <sz val="10"/>
      <color rgb="FFFF0000"/>
      <name val="Verdana"/>
      <family val="2"/>
    </font>
    <font>
      <b/>
      <sz val="10"/>
      <color rgb="FFFF0000"/>
      <name val="Verdana"/>
      <family val="2"/>
    </font>
    <font>
      <b/>
      <sz val="8"/>
      <color rgb="FF094909"/>
      <name val="Verdana"/>
      <family val="2"/>
    </font>
    <font>
      <sz val="8"/>
      <color rgb="FF000000"/>
      <name val="Verdana"/>
      <family val="2"/>
    </font>
    <font>
      <u/>
      <sz val="8"/>
      <color theme="10"/>
      <name val="Verdana"/>
      <family val="2"/>
    </font>
    <font>
      <sz val="10"/>
      <color rgb="FF808080"/>
      <name val="Verdana"/>
      <family val="2"/>
    </font>
    <font>
      <b/>
      <sz val="9"/>
      <color theme="1"/>
      <name val="Verdana"/>
      <family val="2"/>
    </font>
    <font>
      <sz val="9"/>
      <color theme="1"/>
      <name val="Verdana"/>
      <family val="2"/>
    </font>
    <font>
      <b/>
      <sz val="9"/>
      <color rgb="FF808080"/>
      <name val="Verdana"/>
      <family val="2"/>
    </font>
    <font>
      <b/>
      <sz val="10"/>
      <color rgb="FF808080"/>
      <name val="Verdana"/>
      <family val="2"/>
    </font>
    <font>
      <sz val="10"/>
      <color rgb="FF404040"/>
      <name val="Verdana"/>
      <family val="2"/>
    </font>
    <font>
      <b/>
      <sz val="9"/>
      <name val="Verdana"/>
      <family val="2"/>
    </font>
    <font>
      <sz val="10"/>
      <color theme="0" tint="-0.34998626667073579"/>
      <name val="Verdana"/>
      <family val="2"/>
    </font>
    <font>
      <sz val="9"/>
      <color indexed="81"/>
      <name val="Segoe UI"/>
      <family val="2"/>
    </font>
    <font>
      <b/>
      <sz val="9"/>
      <color indexed="81"/>
      <name val="Segoe UI"/>
      <family val="2"/>
    </font>
    <font>
      <b/>
      <sz val="12"/>
      <color theme="0"/>
      <name val="Arial"/>
      <family val="2"/>
    </font>
    <font>
      <b/>
      <sz val="12"/>
      <color theme="0"/>
      <name val="Spranq eco sans"/>
      <family val="2"/>
    </font>
    <font>
      <b/>
      <sz val="10"/>
      <color rgb="FF000000"/>
      <name val="Arial"/>
      <family val="2"/>
    </font>
    <font>
      <sz val="10"/>
      <color rgb="FF000000"/>
      <name val="Spranq eco sans"/>
      <family val="2"/>
    </font>
    <font>
      <sz val="10"/>
      <color rgb="FF000000"/>
      <name val="Arial"/>
      <family val="2"/>
    </font>
    <font>
      <b/>
      <sz val="10"/>
      <color theme="0" tint="-0.34998626667073579"/>
      <name val="Verdana"/>
      <family val="2"/>
    </font>
    <font>
      <sz val="9"/>
      <name val="Verdana"/>
      <family val="2"/>
    </font>
    <font>
      <b/>
      <sz val="9"/>
      <color rgb="FF000000"/>
      <name val="Verdana"/>
      <family val="2"/>
    </font>
    <font>
      <sz val="10"/>
      <color theme="1"/>
      <name val="Verdana"/>
      <family val="2"/>
    </font>
    <font>
      <b/>
      <strike/>
      <sz val="8"/>
      <color rgb="FF094909"/>
      <name val="Verdana"/>
      <family val="2"/>
    </font>
    <font>
      <strike/>
      <sz val="8"/>
      <color theme="1"/>
      <name val="Verdana"/>
      <family val="2"/>
    </font>
    <font>
      <strike/>
      <sz val="8"/>
      <color rgb="FF333333"/>
      <name val="Verdana"/>
      <family val="2"/>
    </font>
    <font>
      <strike/>
      <sz val="11"/>
      <color theme="1"/>
      <name val="Calibri"/>
      <family val="2"/>
      <scheme val="minor"/>
    </font>
    <font>
      <sz val="10"/>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tint="-0.249977111117893"/>
        <bgColor indexed="64"/>
      </patternFill>
    </fill>
    <fill>
      <patternFill patternType="solid">
        <fgColor indexed="4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FF"/>
        <bgColor rgb="FF000000"/>
      </patternFill>
    </fill>
    <fill>
      <patternFill patternType="solid">
        <fgColor theme="6" tint="0.39997558519241921"/>
        <bgColor indexed="64"/>
      </patternFill>
    </fill>
    <fill>
      <patternFill patternType="solid">
        <fgColor rgb="FFFF99FF"/>
        <bgColor indexed="64"/>
      </patternFill>
    </fill>
    <fill>
      <patternFill patternType="solid">
        <fgColor rgb="FFE9EFD3"/>
        <bgColor rgb="FF000000"/>
      </patternFill>
    </fill>
    <fill>
      <patternFill patternType="solid">
        <fgColor rgb="FFFCE4D6"/>
        <bgColor indexed="64"/>
      </patternFill>
    </fill>
    <fill>
      <patternFill patternType="solid">
        <fgColor rgb="FFFFC000"/>
        <bgColor rgb="FF000000"/>
      </patternFill>
    </fill>
    <fill>
      <patternFill patternType="solid">
        <fgColor rgb="FFDDEBF7"/>
        <bgColor indexed="64"/>
      </patternFill>
    </fill>
    <fill>
      <patternFill patternType="solid">
        <fgColor rgb="FFBDD7EE"/>
        <bgColor indexed="64"/>
      </patternFill>
    </fill>
    <fill>
      <patternFill patternType="solid">
        <fgColor rgb="FFE2EFDA"/>
        <bgColor indexed="64"/>
      </patternFill>
    </fill>
    <fill>
      <patternFill patternType="solid">
        <fgColor rgb="FFA9D08E"/>
        <bgColor indexed="64"/>
      </patternFill>
    </fill>
    <fill>
      <patternFill patternType="solid">
        <fgColor rgb="FFC6E0B4"/>
        <bgColor indexed="64"/>
      </patternFill>
    </fill>
    <fill>
      <patternFill patternType="solid">
        <fgColor rgb="FF9BC2E6"/>
        <bgColor indexed="64"/>
      </patternFill>
    </fill>
    <fill>
      <patternFill patternType="solid">
        <fgColor rgb="FFD6DCE4"/>
        <bgColor indexed="64"/>
      </patternFill>
    </fill>
    <fill>
      <patternFill patternType="solid">
        <fgColor rgb="FFD9E1F2"/>
        <bgColor indexed="64"/>
      </patternFill>
    </fill>
    <fill>
      <patternFill patternType="solid">
        <fgColor rgb="FFF8CBAD"/>
        <bgColor indexed="64"/>
      </patternFill>
    </fill>
    <fill>
      <patternFill patternType="solid">
        <fgColor theme="4" tint="0.79998168889431442"/>
        <bgColor theme="4" tint="0.79998168889431442"/>
      </patternFill>
    </fill>
    <fill>
      <patternFill patternType="solid">
        <fgColor rgb="FFFFF2CC"/>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theme="4" tint="0.39997558519241921"/>
      </top>
      <bottom style="thin">
        <color theme="4" tint="0.39997558519241921"/>
      </bottom>
      <diagonal/>
    </border>
    <border>
      <left style="thin">
        <color rgb="FF000000"/>
      </left>
      <right style="thin">
        <color rgb="FF000000"/>
      </right>
      <top style="thin">
        <color theme="4" tint="0.39997558519241921"/>
      </top>
      <bottom style="thin">
        <color rgb="FF000000"/>
      </bottom>
      <diagonal/>
    </border>
    <border>
      <left/>
      <right style="thin">
        <color rgb="FF000000"/>
      </right>
      <top style="thin">
        <color rgb="FF000000"/>
      </top>
      <bottom style="thin">
        <color indexed="64"/>
      </bottom>
      <diagonal/>
    </border>
    <border>
      <left/>
      <right style="thin">
        <color rgb="FF000000"/>
      </right>
      <top style="thin">
        <color theme="4" tint="0.39997558519241921"/>
      </top>
      <bottom style="thin">
        <color theme="4" tint="0.39997558519241921"/>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diagonal/>
    </border>
    <border>
      <left/>
      <right style="thin">
        <color indexed="64"/>
      </right>
      <top style="thin">
        <color indexed="64"/>
      </top>
      <bottom style="thin">
        <color theme="1"/>
      </bottom>
      <diagonal/>
    </border>
    <border>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top/>
      <bottom style="thin">
        <color rgb="FF808080"/>
      </bottom>
      <diagonal/>
    </border>
    <border>
      <left/>
      <right style="thin">
        <color rgb="FF808080"/>
      </right>
      <top style="thin">
        <color rgb="FF808080"/>
      </top>
      <bottom/>
      <diagonal/>
    </border>
    <border>
      <left style="thin">
        <color rgb="FF808080"/>
      </left>
      <right style="thin">
        <color rgb="FF808080"/>
      </right>
      <top style="thin">
        <color rgb="FF808080"/>
      </top>
      <bottom/>
      <diagonal/>
    </border>
    <border>
      <left/>
      <right/>
      <top style="thin">
        <color theme="4" tint="0.39997558519241921"/>
      </top>
      <bottom style="thin">
        <color theme="4" tint="0.39997558519241921"/>
      </bottom>
      <diagonal/>
    </border>
    <border>
      <left/>
      <right style="medium">
        <color rgb="FF000000"/>
      </right>
      <top/>
      <bottom style="medium">
        <color rgb="FF000000"/>
      </bottom>
      <diagonal/>
    </border>
    <border>
      <left style="medium">
        <color rgb="FFCCCCCC"/>
      </left>
      <right style="medium">
        <color rgb="FF000000"/>
      </right>
      <top/>
      <bottom style="medium">
        <color rgb="FF000000"/>
      </bottom>
      <diagonal/>
    </border>
    <border>
      <left style="medium">
        <color rgb="FFCCCCCC"/>
      </left>
      <right/>
      <top/>
      <bottom style="medium">
        <color rgb="FF000000"/>
      </bottom>
      <diagonal/>
    </border>
    <border>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medium">
        <color rgb="FFCCCCCC"/>
      </left>
      <right/>
      <top style="medium">
        <color rgb="FFCCCCCC"/>
      </top>
      <bottom style="medium">
        <color rgb="FF000000"/>
      </bottom>
      <diagonal/>
    </border>
    <border>
      <left/>
      <right style="thin">
        <color rgb="FF000000"/>
      </right>
      <top style="thin">
        <color rgb="FF000000"/>
      </top>
      <bottom/>
      <diagonal/>
    </border>
    <border>
      <left/>
      <right style="thin">
        <color rgb="FF000000"/>
      </right>
      <top/>
      <bottom/>
      <diagonal/>
    </border>
  </borders>
  <cellStyleXfs count="11">
    <xf numFmtId="0" fontId="0" fillId="0" borderId="0"/>
    <xf numFmtId="43" fontId="1" fillId="0" borderId="0" applyFont="0" applyFill="0" applyBorder="0" applyAlignment="0" applyProtection="0"/>
    <xf numFmtId="0" fontId="6" fillId="0" borderId="0"/>
    <xf numFmtId="164" fontId="6" fillId="0" borderId="0" applyFont="0" applyFill="0" applyBorder="0" applyAlignment="0" applyProtection="0"/>
    <xf numFmtId="9" fontId="1"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4" fillId="0" borderId="0" applyNumberFormat="0" applyFill="0" applyBorder="0" applyAlignment="0" applyProtection="0"/>
    <xf numFmtId="44" fontId="1" fillId="0" borderId="0" applyFont="0" applyFill="0" applyBorder="0" applyAlignment="0" applyProtection="0"/>
  </cellStyleXfs>
  <cellXfs count="319">
    <xf numFmtId="0" fontId="0" fillId="0" borderId="0" xfId="0"/>
    <xf numFmtId="0" fontId="2" fillId="0" borderId="0" xfId="0" applyFont="1"/>
    <xf numFmtId="4" fontId="2" fillId="0" borderId="0" xfId="0" applyNumberFormat="1" applyFont="1"/>
    <xf numFmtId="43" fontId="2" fillId="0" borderId="0" xfId="0" applyNumberFormat="1" applyFont="1"/>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xf numFmtId="43" fontId="2" fillId="0" borderId="2" xfId="1" applyFont="1" applyBorder="1"/>
    <xf numFmtId="0" fontId="2" fillId="0" borderId="5" xfId="0" applyFont="1" applyBorder="1"/>
    <xf numFmtId="0" fontId="3" fillId="0" borderId="5" xfId="0" applyFont="1" applyBorder="1" applyAlignment="1"/>
    <xf numFmtId="43" fontId="3" fillId="0" borderId="2" xfId="0" applyNumberFormat="1" applyFont="1" applyBorder="1"/>
    <xf numFmtId="43" fontId="3" fillId="0" borderId="2" xfId="1" applyFont="1" applyBorder="1"/>
    <xf numFmtId="4" fontId="3" fillId="0" borderId="2" xfId="0" applyNumberFormat="1" applyFont="1" applyBorder="1"/>
    <xf numFmtId="4" fontId="5" fillId="0" borderId="0" xfId="0" applyNumberFormat="1" applyFont="1" applyFill="1" applyBorder="1" applyAlignment="1">
      <alignment wrapText="1"/>
    </xf>
    <xf numFmtId="0" fontId="2" fillId="0" borderId="2" xfId="0" applyFont="1" applyBorder="1" applyAlignment="1">
      <alignment horizontal="center"/>
    </xf>
    <xf numFmtId="43" fontId="2" fillId="2" borderId="2" xfId="1" applyFont="1" applyFill="1" applyBorder="1"/>
    <xf numFmtId="43" fontId="2" fillId="0" borderId="2" xfId="1" applyFont="1" applyFill="1" applyBorder="1"/>
    <xf numFmtId="0" fontId="2" fillId="0" borderId="2" xfId="0" applyFont="1" applyFill="1" applyBorder="1" applyAlignment="1">
      <alignment horizontal="center"/>
    </xf>
    <xf numFmtId="0" fontId="2" fillId="2" borderId="2" xfId="0" applyFont="1" applyFill="1" applyBorder="1" applyAlignment="1">
      <alignment horizontal="center"/>
    </xf>
    <xf numFmtId="43" fontId="7" fillId="3" borderId="2" xfId="1" applyFont="1" applyFill="1" applyBorder="1"/>
    <xf numFmtId="43" fontId="2" fillId="2" borderId="2" xfId="1" applyFont="1" applyFill="1" applyBorder="1" applyAlignment="1" applyProtection="1">
      <alignment horizontal="right"/>
      <protection locked="0"/>
    </xf>
    <xf numFmtId="43" fontId="7" fillId="0" borderId="2" xfId="1" applyFont="1" applyFill="1" applyBorder="1"/>
    <xf numFmtId="0" fontId="3" fillId="0" borderId="2" xfId="0" applyNumberFormat="1" applyFont="1" applyBorder="1" applyAlignment="1">
      <alignment horizontal="center"/>
    </xf>
    <xf numFmtId="43" fontId="7" fillId="3" borderId="2" xfId="1" applyFont="1" applyFill="1" applyBorder="1" applyProtection="1">
      <protection locked="0"/>
    </xf>
    <xf numFmtId="43" fontId="7" fillId="0" borderId="2" xfId="1" applyFont="1" applyFill="1" applyBorder="1" applyProtection="1">
      <protection locked="0"/>
    </xf>
    <xf numFmtId="0" fontId="2" fillId="2" borderId="2" xfId="0" applyNumberFormat="1" applyFont="1" applyFill="1" applyBorder="1" applyAlignment="1" applyProtection="1">
      <alignment horizontal="center" vertical="center"/>
      <protection locked="0"/>
    </xf>
    <xf numFmtId="0" fontId="7" fillId="0" borderId="2" xfId="0" applyNumberFormat="1" applyFont="1" applyFill="1" applyBorder="1" applyAlignment="1" applyProtection="1">
      <alignment horizontal="center"/>
      <protection locked="0"/>
    </xf>
    <xf numFmtId="0" fontId="2" fillId="0" borderId="2" xfId="0" applyNumberFormat="1" applyFont="1" applyBorder="1" applyAlignment="1">
      <alignment horizontal="center"/>
    </xf>
    <xf numFmtId="0" fontId="7" fillId="0" borderId="2" xfId="0" applyNumberFormat="1" applyFont="1" applyFill="1" applyBorder="1" applyAlignment="1">
      <alignment horizontal="center"/>
    </xf>
    <xf numFmtId="0" fontId="7" fillId="3" borderId="2" xfId="0" applyNumberFormat="1" applyFont="1" applyFill="1" applyBorder="1" applyAlignment="1" applyProtection="1">
      <alignment horizontal="center"/>
      <protection locked="0"/>
    </xf>
    <xf numFmtId="0" fontId="2" fillId="2" borderId="2" xfId="0" applyNumberFormat="1" applyFont="1" applyFill="1" applyBorder="1" applyAlignment="1" applyProtection="1">
      <alignment horizontal="center"/>
      <protection locked="0"/>
    </xf>
    <xf numFmtId="0" fontId="3" fillId="0" borderId="2" xfId="1" applyNumberFormat="1" applyFont="1" applyBorder="1" applyAlignment="1">
      <alignment horizontal="center"/>
    </xf>
    <xf numFmtId="0" fontId="2" fillId="0" borderId="2" xfId="0" applyFont="1" applyFill="1" applyBorder="1"/>
    <xf numFmtId="0" fontId="2" fillId="0" borderId="0" xfId="0" applyFont="1" applyFill="1"/>
    <xf numFmtId="4" fontId="2" fillId="0" borderId="2" xfId="0" applyNumberFormat="1" applyFont="1" applyFill="1" applyBorder="1"/>
    <xf numFmtId="2" fontId="2" fillId="0" borderId="2" xfId="0" applyNumberFormat="1" applyFont="1" applyFill="1" applyBorder="1"/>
    <xf numFmtId="0" fontId="2" fillId="0" borderId="2" xfId="0" applyNumberFormat="1" applyFont="1" applyFill="1" applyBorder="1" applyAlignment="1">
      <alignment horizontal="center"/>
    </xf>
    <xf numFmtId="43" fontId="7" fillId="0" borderId="2" xfId="1" applyFont="1" applyFill="1" applyBorder="1" applyAlignment="1">
      <alignment horizontal="center"/>
    </xf>
    <xf numFmtId="0" fontId="7" fillId="0" borderId="2" xfId="0" applyFont="1" applyFill="1" applyBorder="1" applyAlignment="1">
      <alignment horizontal="center"/>
    </xf>
    <xf numFmtId="43" fontId="2" fillId="0" borderId="2" xfId="1" applyFont="1" applyFill="1" applyBorder="1" applyAlignment="1">
      <alignment horizontal="left" vertical="center"/>
    </xf>
    <xf numFmtId="0" fontId="2" fillId="0" borderId="2" xfId="0" applyFont="1" applyFill="1" applyBorder="1" applyAlignment="1">
      <alignment horizontal="center" vertical="center"/>
    </xf>
    <xf numFmtId="43" fontId="2" fillId="0" borderId="2" xfId="1" applyFont="1" applyFill="1" applyBorder="1" applyProtection="1">
      <protection locked="0"/>
    </xf>
    <xf numFmtId="0" fontId="2" fillId="0" borderId="2" xfId="0" applyNumberFormat="1" applyFont="1" applyFill="1" applyBorder="1" applyAlignment="1" applyProtection="1">
      <alignment horizontal="center"/>
      <protection locked="0"/>
    </xf>
    <xf numFmtId="0" fontId="2" fillId="0" borderId="2" xfId="0" applyFont="1" applyFill="1" applyBorder="1" applyAlignment="1" applyProtection="1">
      <alignment horizontal="center"/>
      <protection locked="0"/>
    </xf>
    <xf numFmtId="0" fontId="2" fillId="0" borderId="2" xfId="1" applyNumberFormat="1" applyFont="1" applyFill="1" applyBorder="1" applyAlignment="1">
      <alignment horizontal="center"/>
    </xf>
    <xf numFmtId="43" fontId="5" fillId="0" borderId="2" xfId="1" applyFont="1" applyFill="1" applyBorder="1"/>
    <xf numFmtId="0" fontId="5" fillId="0" borderId="2" xfId="0" applyFont="1" applyFill="1" applyBorder="1" applyAlignment="1">
      <alignment horizontal="center"/>
    </xf>
    <xf numFmtId="43" fontId="2" fillId="0" borderId="2" xfId="0" applyNumberFormat="1" applyFont="1" applyFill="1" applyBorder="1"/>
    <xf numFmtId="0" fontId="2" fillId="0" borderId="4" xfId="0" applyFont="1" applyBorder="1" applyAlignment="1">
      <alignment horizontal="left"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2" fontId="2" fillId="0" borderId="2" xfId="4" applyNumberFormat="1" applyFont="1" applyBorder="1" applyAlignment="1">
      <alignment horizontal="center"/>
    </xf>
    <xf numFmtId="4" fontId="5" fillId="0" borderId="2" xfId="0" applyNumberFormat="1" applyFont="1" applyFill="1" applyBorder="1" applyAlignment="1">
      <alignment wrapText="1"/>
    </xf>
    <xf numFmtId="43" fontId="2" fillId="0" borderId="2" xfId="0" applyNumberFormat="1" applyFont="1" applyBorder="1"/>
    <xf numFmtId="2" fontId="2" fillId="0" borderId="2" xfId="0" applyNumberFormat="1" applyFont="1" applyBorder="1" applyAlignment="1">
      <alignment horizontal="center"/>
    </xf>
    <xf numFmtId="2" fontId="2" fillId="0" borderId="0" xfId="0" applyNumberFormat="1" applyFont="1" applyAlignment="1">
      <alignment horizontal="center" vertical="center"/>
    </xf>
    <xf numFmtId="2" fontId="2" fillId="0" borderId="2" xfId="0" applyNumberFormat="1" applyFont="1" applyBorder="1" applyAlignment="1">
      <alignment horizontal="center" vertical="center"/>
    </xf>
    <xf numFmtId="4" fontId="5" fillId="0" borderId="2" xfId="0" applyNumberFormat="1" applyFont="1" applyBorder="1" applyAlignment="1">
      <alignment wrapText="1"/>
    </xf>
    <xf numFmtId="0" fontId="2" fillId="0" borderId="0" xfId="0" applyFont="1" applyAlignment="1">
      <alignment horizontal="center" vertical="center"/>
    </xf>
    <xf numFmtId="0" fontId="8" fillId="0" borderId="0" xfId="0" applyFont="1" applyAlignment="1"/>
    <xf numFmtId="0" fontId="3" fillId="0" borderId="4" xfId="0" applyFont="1" applyBorder="1" applyAlignment="1">
      <alignment vertical="center"/>
    </xf>
    <xf numFmtId="0" fontId="3" fillId="0" borderId="4" xfId="0" applyFont="1" applyBorder="1" applyAlignment="1">
      <alignment vertical="center" wrapText="1"/>
    </xf>
    <xf numFmtId="0" fontId="9" fillId="0" borderId="2" xfId="0" applyFont="1" applyBorder="1" applyAlignment="1">
      <alignment horizontal="center" vertical="center" wrapText="1"/>
    </xf>
    <xf numFmtId="0" fontId="2" fillId="0" borderId="2" xfId="0" applyFont="1" applyBorder="1" applyAlignment="1">
      <alignment horizontal="left" vertical="center"/>
    </xf>
    <xf numFmtId="4" fontId="5" fillId="0" borderId="4" xfId="0" applyNumberFormat="1" applyFont="1" applyFill="1" applyBorder="1" applyAlignment="1">
      <alignment wrapText="1"/>
    </xf>
    <xf numFmtId="0" fontId="2" fillId="0" borderId="4" xfId="0" applyFont="1" applyFill="1" applyBorder="1"/>
    <xf numFmtId="0" fontId="11" fillId="0" borderId="0" xfId="0" applyFont="1"/>
    <xf numFmtId="0" fontId="16" fillId="8" borderId="0" xfId="0" applyFont="1" applyFill="1" applyBorder="1" applyAlignment="1">
      <alignment horizontal="left"/>
    </xf>
    <xf numFmtId="0" fontId="15" fillId="10" borderId="0" xfId="0" applyFont="1" applyFill="1" applyBorder="1" applyAlignment="1">
      <alignment horizontal="left"/>
    </xf>
    <xf numFmtId="0" fontId="0" fillId="0" borderId="0" xfId="0" applyAlignment="1">
      <alignment horizontal="left"/>
    </xf>
    <xf numFmtId="0" fontId="17" fillId="0" borderId="0" xfId="0" applyFont="1"/>
    <xf numFmtId="0" fontId="16" fillId="16" borderId="0" xfId="0" applyFont="1" applyFill="1" applyBorder="1" applyAlignment="1">
      <alignment horizontal="left"/>
    </xf>
    <xf numFmtId="0" fontId="15" fillId="16" borderId="0" xfId="0" applyFont="1" applyFill="1" applyBorder="1" applyAlignment="1">
      <alignment horizontal="left"/>
    </xf>
    <xf numFmtId="0" fontId="14" fillId="16" borderId="0" xfId="9" applyFill="1" applyBorder="1" applyAlignment="1">
      <alignment horizontal="left"/>
    </xf>
    <xf numFmtId="0" fontId="14" fillId="10" borderId="0" xfId="9" applyFill="1" applyBorder="1" applyAlignment="1">
      <alignment horizontal="left"/>
    </xf>
    <xf numFmtId="0" fontId="14" fillId="16" borderId="0" xfId="9" applyFill="1" applyAlignment="1">
      <alignment horizontal="left"/>
    </xf>
    <xf numFmtId="0" fontId="14" fillId="10" borderId="0" xfId="9" applyFill="1" applyAlignment="1">
      <alignment horizontal="left"/>
    </xf>
    <xf numFmtId="0" fontId="16" fillId="16" borderId="0" xfId="0" applyFont="1" applyFill="1" applyBorder="1" applyAlignment="1">
      <alignment horizontal="center"/>
    </xf>
    <xf numFmtId="0" fontId="16" fillId="8" borderId="0" xfId="0" applyFont="1" applyFill="1" applyBorder="1" applyAlignment="1">
      <alignment horizontal="center"/>
    </xf>
    <xf numFmtId="0" fontId="19" fillId="0" borderId="0" xfId="5" applyFont="1" applyAlignment="1">
      <alignment horizontal="center" vertical="center"/>
    </xf>
    <xf numFmtId="0" fontId="22" fillId="9" borderId="0" xfId="0" applyFont="1" applyFill="1" applyBorder="1" applyAlignment="1">
      <alignment horizontal="center" vertical="center" wrapText="1"/>
    </xf>
    <xf numFmtId="0" fontId="22" fillId="9" borderId="0" xfId="0" applyFont="1" applyFill="1" applyBorder="1" applyAlignment="1">
      <alignment horizontal="center" vertical="center"/>
    </xf>
    <xf numFmtId="4" fontId="15" fillId="16" borderId="0" xfId="0" applyNumberFormat="1" applyFont="1" applyFill="1" applyBorder="1" applyAlignment="1">
      <alignment horizontal="left"/>
    </xf>
    <xf numFmtId="0" fontId="18" fillId="0" borderId="0" xfId="0" applyFont="1"/>
    <xf numFmtId="4" fontId="15" fillId="10" borderId="0" xfId="0" applyNumberFormat="1" applyFont="1" applyFill="1" applyBorder="1" applyAlignment="1">
      <alignment horizontal="left"/>
    </xf>
    <xf numFmtId="0" fontId="0" fillId="16" borderId="0" xfId="0" applyFill="1" applyAlignment="1">
      <alignment horizontal="center"/>
    </xf>
    <xf numFmtId="0" fontId="0" fillId="0" borderId="0" xfId="0" applyAlignment="1">
      <alignment horizontal="center"/>
    </xf>
    <xf numFmtId="0" fontId="20" fillId="0" borderId="0" xfId="5" applyFont="1" applyAlignment="1">
      <alignment horizontal="center" vertical="center"/>
    </xf>
    <xf numFmtId="4" fontId="15" fillId="16" borderId="0" xfId="0" applyNumberFormat="1" applyFont="1" applyFill="1" applyAlignment="1">
      <alignment horizontal="left"/>
    </xf>
    <xf numFmtId="0" fontId="16" fillId="16" borderId="0" xfId="0" applyFont="1" applyFill="1" applyAlignment="1">
      <alignment horizontal="center"/>
    </xf>
    <xf numFmtId="0" fontId="16" fillId="16" borderId="0" xfId="0" applyFont="1" applyFill="1" applyAlignment="1">
      <alignment horizontal="left"/>
    </xf>
    <xf numFmtId="0" fontId="15" fillId="16" borderId="0" xfId="0" applyFont="1" applyFill="1" applyAlignment="1">
      <alignment horizontal="left"/>
    </xf>
    <xf numFmtId="4" fontId="15" fillId="10" borderId="0" xfId="0" applyNumberFormat="1" applyFont="1" applyFill="1" applyAlignment="1">
      <alignment horizontal="left"/>
    </xf>
    <xf numFmtId="0" fontId="16" fillId="8" borderId="0" xfId="0" applyFont="1" applyFill="1" applyAlignment="1">
      <alignment horizontal="center"/>
    </xf>
    <xf numFmtId="0" fontId="16" fillId="8" borderId="0" xfId="0" applyFont="1" applyFill="1" applyAlignment="1">
      <alignment horizontal="left"/>
    </xf>
    <xf numFmtId="0" fontId="15" fillId="10" borderId="0" xfId="0" applyFont="1" applyFill="1" applyAlignment="1">
      <alignment horizontal="left"/>
    </xf>
    <xf numFmtId="4" fontId="15" fillId="16" borderId="0" xfId="0" applyNumberFormat="1" applyFont="1" applyFill="1" applyBorder="1" applyAlignment="1">
      <alignment horizontal="center"/>
    </xf>
    <xf numFmtId="4" fontId="15" fillId="16" borderId="0" xfId="0" applyNumberFormat="1" applyFont="1" applyFill="1" applyAlignment="1">
      <alignment horizontal="center"/>
    </xf>
    <xf numFmtId="0" fontId="19" fillId="2" borderId="17" xfId="0" applyFont="1" applyFill="1" applyBorder="1" applyAlignment="1">
      <alignment horizontal="center" vertical="center" wrapText="1"/>
    </xf>
    <xf numFmtId="0" fontId="20" fillId="0" borderId="2" xfId="0" applyFont="1" applyFill="1" applyBorder="1" applyAlignment="1">
      <alignment horizontal="center" vertical="center" wrapText="1"/>
    </xf>
    <xf numFmtId="1" fontId="20" fillId="2" borderId="2" xfId="0" applyNumberFormat="1" applyFont="1" applyFill="1" applyBorder="1" applyAlignment="1">
      <alignment horizontal="center" vertical="center"/>
    </xf>
    <xf numFmtId="0" fontId="22" fillId="8" borderId="2" xfId="0" applyFont="1" applyFill="1" applyBorder="1" applyAlignment="1">
      <alignment horizontal="center" vertical="center" wrapText="1"/>
    </xf>
    <xf numFmtId="0" fontId="19" fillId="19" borderId="4" xfId="0" applyFont="1" applyFill="1" applyBorder="1" applyAlignment="1">
      <alignment horizontal="center" vertical="center" wrapText="1"/>
    </xf>
    <xf numFmtId="0" fontId="22" fillId="9" borderId="0" xfId="0" applyFont="1" applyFill="1" applyAlignment="1">
      <alignment horizontal="center" vertical="center"/>
    </xf>
    <xf numFmtId="0" fontId="22" fillId="0" borderId="0" xfId="0" applyFont="1" applyAlignment="1">
      <alignment horizontal="center" vertical="center"/>
    </xf>
    <xf numFmtId="0" fontId="20" fillId="0" borderId="18" xfId="0" applyFont="1" applyFill="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11" xfId="0" applyFont="1" applyBorder="1" applyAlignment="1">
      <alignment horizontal="center" vertical="center"/>
    </xf>
    <xf numFmtId="0" fontId="22" fillId="2" borderId="0" xfId="0" applyFont="1" applyFill="1" applyBorder="1" applyAlignment="1">
      <alignment horizontal="center" vertical="center"/>
    </xf>
    <xf numFmtId="0" fontId="21" fillId="9" borderId="0" xfId="0" applyFont="1" applyFill="1" applyAlignment="1">
      <alignment horizontal="center" vertical="center" wrapText="1"/>
    </xf>
    <xf numFmtId="0" fontId="21" fillId="0" borderId="0" xfId="0" applyFont="1" applyAlignment="1">
      <alignment horizontal="center" vertical="center" wrapText="1"/>
    </xf>
    <xf numFmtId="0" fontId="22" fillId="14" borderId="8" xfId="0" applyFont="1" applyFill="1" applyBorder="1" applyAlignment="1">
      <alignment horizontal="center" vertical="center"/>
    </xf>
    <xf numFmtId="0" fontId="22" fillId="14" borderId="11" xfId="0" applyFont="1" applyFill="1" applyBorder="1" applyAlignment="1">
      <alignment horizontal="center" vertical="center"/>
    </xf>
    <xf numFmtId="0" fontId="22" fillId="2" borderId="2" xfId="0" applyFont="1" applyFill="1" applyBorder="1" applyAlignment="1">
      <alignment horizontal="center" vertical="center"/>
    </xf>
    <xf numFmtId="0" fontId="22" fillId="8" borderId="2" xfId="0" applyFont="1" applyFill="1" applyBorder="1" applyAlignment="1">
      <alignment horizontal="center" vertical="center"/>
    </xf>
    <xf numFmtId="9" fontId="22" fillId="6" borderId="12" xfId="0" applyNumberFormat="1" applyFont="1" applyFill="1" applyBorder="1" applyAlignment="1">
      <alignment horizontal="center" vertical="center" wrapText="1"/>
    </xf>
    <xf numFmtId="0" fontId="22" fillId="9" borderId="0" xfId="0" applyFont="1" applyFill="1" applyAlignment="1">
      <alignment horizontal="center" vertical="center" wrapText="1"/>
    </xf>
    <xf numFmtId="0" fontId="22" fillId="8" borderId="0" xfId="0" applyFont="1" applyFill="1" applyAlignment="1">
      <alignment horizontal="center" vertical="center"/>
    </xf>
    <xf numFmtId="4" fontId="22" fillId="8" borderId="0" xfId="0" applyNumberFormat="1" applyFont="1" applyFill="1" applyAlignment="1">
      <alignment horizontal="center" vertical="center"/>
    </xf>
    <xf numFmtId="1" fontId="25" fillId="8" borderId="0" xfId="0" applyNumberFormat="1" applyFont="1" applyFill="1" applyAlignment="1">
      <alignment horizontal="center" vertical="center"/>
    </xf>
    <xf numFmtId="165" fontId="22" fillId="8" borderId="0" xfId="0" applyNumberFormat="1" applyFont="1" applyFill="1" applyAlignment="1">
      <alignment horizontal="center" vertical="center"/>
    </xf>
    <xf numFmtId="1" fontId="22" fillId="8" borderId="0" xfId="0" applyNumberFormat="1" applyFont="1" applyFill="1" applyAlignment="1">
      <alignment horizontal="center" vertical="center"/>
    </xf>
    <xf numFmtId="0" fontId="20" fillId="9" borderId="0" xfId="0" applyFont="1" applyFill="1" applyBorder="1" applyAlignment="1">
      <alignment horizontal="center" vertical="center" wrapText="1"/>
    </xf>
    <xf numFmtId="1" fontId="20" fillId="0" borderId="0" xfId="5" applyNumberFormat="1" applyFont="1" applyAlignment="1">
      <alignment horizontal="center" vertical="center"/>
    </xf>
    <xf numFmtId="0" fontId="20" fillId="9" borderId="0" xfId="0" applyFont="1" applyFill="1" applyAlignment="1">
      <alignment horizontal="center" vertical="center" wrapText="1"/>
    </xf>
    <xf numFmtId="0" fontId="22" fillId="0" borderId="0" xfId="0" applyFont="1" applyAlignment="1">
      <alignment horizontal="center" vertical="center" wrapText="1"/>
    </xf>
    <xf numFmtId="0" fontId="22" fillId="0" borderId="2" xfId="0" applyFont="1" applyBorder="1" applyAlignment="1">
      <alignment horizontal="center" vertical="center" wrapText="1"/>
    </xf>
    <xf numFmtId="43" fontId="22" fillId="8" borderId="2" xfId="0" applyNumberFormat="1" applyFont="1" applyFill="1" applyBorder="1" applyAlignment="1">
      <alignment horizontal="center" vertical="center" wrapText="1"/>
    </xf>
    <xf numFmtId="164" fontId="22" fillId="8" borderId="2" xfId="0" applyNumberFormat="1" applyFont="1" applyFill="1" applyBorder="1" applyAlignment="1">
      <alignment horizontal="center" vertical="center" wrapText="1"/>
    </xf>
    <xf numFmtId="9" fontId="22" fillId="9" borderId="0" xfId="0" applyNumberFormat="1" applyFont="1" applyFill="1" applyBorder="1" applyAlignment="1">
      <alignment horizontal="center" vertical="center" wrapText="1"/>
    </xf>
    <xf numFmtId="0" fontId="21" fillId="17" borderId="0" xfId="0" applyFont="1" applyFill="1" applyBorder="1" applyAlignment="1">
      <alignment horizontal="center" vertical="center" wrapText="1"/>
    </xf>
    <xf numFmtId="43" fontId="21" fillId="17" borderId="0" xfId="1" applyFont="1" applyFill="1" applyBorder="1" applyAlignment="1">
      <alignment horizontal="center" vertical="center" wrapText="1"/>
    </xf>
    <xf numFmtId="44" fontId="20" fillId="18" borderId="4" xfId="10" applyFont="1" applyFill="1" applyBorder="1" applyAlignment="1">
      <alignment horizontal="center" vertical="center" wrapText="1"/>
    </xf>
    <xf numFmtId="0" fontId="27" fillId="13" borderId="0" xfId="0" applyFont="1" applyFill="1" applyAlignment="1">
      <alignment horizontal="center" vertical="center" wrapText="1"/>
    </xf>
    <xf numFmtId="0" fontId="27" fillId="15" borderId="0" xfId="0" applyFont="1" applyFill="1" applyBorder="1" applyAlignment="1">
      <alignment horizontal="center" vertical="center" wrapText="1"/>
    </xf>
    <xf numFmtId="0" fontId="24" fillId="0" borderId="0" xfId="0" applyFont="1" applyAlignment="1">
      <alignment horizontal="left"/>
    </xf>
    <xf numFmtId="0" fontId="28" fillId="8" borderId="0" xfId="0" applyFont="1" applyFill="1" applyAlignment="1">
      <alignment horizontal="center"/>
    </xf>
    <xf numFmtId="0" fontId="28" fillId="8" borderId="0" xfId="0" applyFont="1" applyFill="1" applyAlignment="1">
      <alignment horizontal="left"/>
    </xf>
    <xf numFmtId="0" fontId="29" fillId="10" borderId="0" xfId="9" applyFont="1" applyFill="1" applyAlignment="1">
      <alignment horizontal="left"/>
    </xf>
    <xf numFmtId="0" fontId="24" fillId="16" borderId="0" xfId="0" applyFont="1" applyFill="1" applyAlignment="1">
      <alignment horizontal="center"/>
    </xf>
    <xf numFmtId="0" fontId="24" fillId="0" borderId="0" xfId="0" applyFont="1"/>
    <xf numFmtId="0" fontId="28" fillId="16" borderId="0" xfId="0" applyFont="1" applyFill="1" applyAlignment="1">
      <alignment horizontal="center"/>
    </xf>
    <xf numFmtId="0" fontId="28" fillId="16" borderId="0" xfId="0" applyFont="1" applyFill="1" applyAlignment="1">
      <alignment horizontal="left"/>
    </xf>
    <xf numFmtId="0" fontId="29" fillId="16" borderId="0" xfId="9" applyFont="1" applyFill="1" applyAlignment="1">
      <alignment horizontal="left"/>
    </xf>
    <xf numFmtId="0" fontId="24" fillId="8" borderId="0" xfId="0" applyFont="1" applyFill="1" applyAlignment="1">
      <alignment horizontal="center"/>
    </xf>
    <xf numFmtId="0" fontId="24" fillId="8" borderId="0" xfId="0" applyFont="1" applyFill="1" applyAlignment="1">
      <alignment horizontal="left"/>
    </xf>
    <xf numFmtId="0" fontId="24" fillId="0" borderId="0" xfId="0" applyFont="1" applyAlignment="1">
      <alignment horizontal="center"/>
    </xf>
    <xf numFmtId="0" fontId="27" fillId="13" borderId="0" xfId="0" applyFont="1" applyFill="1" applyBorder="1" applyAlignment="1">
      <alignment horizontal="center" vertical="center" wrapText="1"/>
    </xf>
    <xf numFmtId="0" fontId="24" fillId="0" borderId="0" xfId="0" applyFont="1" applyAlignment="1">
      <alignment horizontal="center" vertical="center" wrapText="1"/>
    </xf>
    <xf numFmtId="0" fontId="26" fillId="0" borderId="0" xfId="0" applyFont="1" applyAlignment="1">
      <alignment horizontal="center" vertical="center" wrapText="1"/>
    </xf>
    <xf numFmtId="0" fontId="30" fillId="20" borderId="4" xfId="0" applyFont="1" applyFill="1" applyBorder="1" applyAlignment="1">
      <alignment horizontal="center" vertical="center" wrapText="1"/>
    </xf>
    <xf numFmtId="44" fontId="30" fillId="18" borderId="4" xfId="10" applyFont="1" applyFill="1" applyBorder="1" applyAlignment="1">
      <alignment horizontal="center" vertical="center" wrapText="1"/>
    </xf>
    <xf numFmtId="0" fontId="22" fillId="9" borderId="8" xfId="0" applyFont="1" applyFill="1" applyBorder="1" applyAlignment="1">
      <alignment horizontal="center" vertical="center"/>
    </xf>
    <xf numFmtId="0" fontId="23" fillId="22" borderId="8" xfId="0" applyFont="1" applyFill="1" applyBorder="1" applyAlignment="1">
      <alignment horizontal="center" vertical="center"/>
    </xf>
    <xf numFmtId="0" fontId="23" fillId="22" borderId="11" xfId="0" applyFont="1" applyFill="1" applyBorder="1" applyAlignment="1">
      <alignment horizontal="center" vertical="center"/>
    </xf>
    <xf numFmtId="0" fontId="23" fillId="22" borderId="9" xfId="0" applyFont="1" applyFill="1" applyBorder="1" applyAlignment="1">
      <alignment horizontal="center" vertical="center"/>
    </xf>
    <xf numFmtId="0" fontId="31" fillId="8" borderId="10" xfId="0" applyFont="1" applyFill="1" applyBorder="1" applyAlignment="1">
      <alignment horizontal="center" vertical="center" wrapText="1"/>
    </xf>
    <xf numFmtId="0" fontId="31" fillId="21" borderId="10" xfId="0" applyFont="1" applyFill="1" applyBorder="1" applyAlignment="1">
      <alignment horizontal="center" vertical="center" wrapText="1"/>
    </xf>
    <xf numFmtId="0" fontId="32" fillId="9" borderId="0" xfId="0" applyFont="1" applyFill="1" applyAlignment="1">
      <alignment horizontal="center" vertical="center"/>
    </xf>
    <xf numFmtId="0" fontId="32" fillId="0" borderId="0" xfId="0" applyFont="1" applyAlignment="1">
      <alignment horizontal="center" vertical="center"/>
    </xf>
    <xf numFmtId="0" fontId="33" fillId="16" borderId="10" xfId="0" applyFont="1" applyFill="1" applyBorder="1" applyAlignment="1">
      <alignment horizontal="center" vertical="center" wrapText="1"/>
    </xf>
    <xf numFmtId="0" fontId="25" fillId="9" borderId="11" xfId="0" applyFont="1" applyFill="1" applyBorder="1" applyAlignment="1">
      <alignment horizontal="center" vertical="center"/>
    </xf>
    <xf numFmtId="0" fontId="25" fillId="9" borderId="0" xfId="0" applyFont="1" applyFill="1" applyAlignment="1">
      <alignment horizontal="center" vertical="center"/>
    </xf>
    <xf numFmtId="0" fontId="25" fillId="0" borderId="0" xfId="0" applyFont="1" applyAlignment="1">
      <alignment horizontal="center" vertical="center"/>
    </xf>
    <xf numFmtId="0" fontId="25" fillId="9" borderId="0" xfId="0" applyFont="1" applyFill="1" applyBorder="1" applyAlignment="1">
      <alignment horizontal="center" vertical="center"/>
    </xf>
    <xf numFmtId="0" fontId="25" fillId="2" borderId="0" xfId="0" applyFont="1" applyFill="1" applyBorder="1" applyAlignment="1">
      <alignment horizontal="center" vertical="center"/>
    </xf>
    <xf numFmtId="9" fontId="22" fillId="8" borderId="2" xfId="4" applyNumberFormat="1" applyFont="1" applyFill="1" applyBorder="1" applyAlignment="1">
      <alignment horizontal="center" vertical="center"/>
    </xf>
    <xf numFmtId="165" fontId="22" fillId="8" borderId="2" xfId="4" applyNumberFormat="1" applyFont="1" applyFill="1" applyBorder="1" applyAlignment="1">
      <alignment horizontal="center" vertical="center"/>
    </xf>
    <xf numFmtId="0" fontId="21" fillId="8" borderId="2" xfId="0" applyFont="1" applyFill="1" applyBorder="1" applyAlignment="1">
      <alignment horizontal="center" vertical="center"/>
    </xf>
    <xf numFmtId="0" fontId="21" fillId="24" borderId="2" xfId="0" applyFont="1" applyFill="1" applyBorder="1" applyAlignment="1">
      <alignment horizontal="center" vertical="center" wrapText="1"/>
    </xf>
    <xf numFmtId="0" fontId="22" fillId="24" borderId="2" xfId="0" applyFont="1" applyFill="1" applyBorder="1" applyAlignment="1">
      <alignment horizontal="center" vertical="center" wrapText="1"/>
    </xf>
    <xf numFmtId="0" fontId="21" fillId="24" borderId="5" xfId="0" applyFont="1" applyFill="1" applyBorder="1" applyAlignment="1">
      <alignment horizontal="center" vertical="center" wrapText="1"/>
    </xf>
    <xf numFmtId="0" fontId="34" fillId="24" borderId="2" xfId="0" applyFont="1" applyFill="1" applyBorder="1" applyAlignment="1">
      <alignment horizontal="center" vertical="center" wrapText="1"/>
    </xf>
    <xf numFmtId="165" fontId="30" fillId="2" borderId="2" xfId="0" applyNumberFormat="1" applyFont="1" applyFill="1" applyBorder="1" applyAlignment="1">
      <alignment horizontal="center" vertical="center" wrapText="1"/>
    </xf>
    <xf numFmtId="0" fontId="36" fillId="12" borderId="10" xfId="0" applyFont="1" applyFill="1" applyBorder="1" applyAlignment="1">
      <alignment horizontal="center" vertical="center" wrapText="1"/>
    </xf>
    <xf numFmtId="0" fontId="31" fillId="14" borderId="11" xfId="0" applyFont="1" applyFill="1" applyBorder="1" applyAlignment="1">
      <alignment horizontal="center" vertical="center" wrapText="1"/>
    </xf>
    <xf numFmtId="0" fontId="31" fillId="9" borderId="0" xfId="0" applyFont="1" applyFill="1" applyAlignment="1">
      <alignment horizontal="center" vertical="center" wrapText="1"/>
    </xf>
    <xf numFmtId="0" fontId="31" fillId="0" borderId="0" xfId="0" applyFont="1" applyAlignment="1">
      <alignment horizontal="center" vertical="center" wrapText="1"/>
    </xf>
    <xf numFmtId="0" fontId="31" fillId="24" borderId="7" xfId="0" applyFont="1" applyFill="1" applyBorder="1" applyAlignment="1">
      <alignment horizontal="center" vertical="center" wrapText="1"/>
    </xf>
    <xf numFmtId="1" fontId="19" fillId="0" borderId="0" xfId="5" applyNumberFormat="1" applyFont="1" applyAlignment="1">
      <alignment horizontal="center" vertical="center"/>
    </xf>
    <xf numFmtId="0" fontId="22" fillId="0" borderId="0" xfId="0" applyFont="1" applyBorder="1" applyAlignment="1">
      <alignment horizontal="center" vertical="center"/>
    </xf>
    <xf numFmtId="0" fontId="22" fillId="0" borderId="4" xfId="0" applyFont="1" applyBorder="1" applyAlignment="1">
      <alignment horizontal="center" vertical="center"/>
    </xf>
    <xf numFmtId="0" fontId="19" fillId="9" borderId="28" xfId="5" applyFont="1" applyFill="1" applyBorder="1" applyAlignment="1">
      <alignment horizontal="center" vertical="center" wrapText="1"/>
    </xf>
    <xf numFmtId="0" fontId="19" fillId="9" borderId="27" xfId="5" applyFont="1" applyFill="1" applyBorder="1" applyAlignment="1">
      <alignment horizontal="center" vertical="center" wrapText="1"/>
    </xf>
    <xf numFmtId="0" fontId="19" fillId="24" borderId="27" xfId="5" applyFont="1" applyFill="1" applyBorder="1" applyAlignment="1">
      <alignment horizontal="center" vertical="center" wrapText="1"/>
    </xf>
    <xf numFmtId="0" fontId="22" fillId="0" borderId="18" xfId="0" applyFont="1" applyBorder="1" applyAlignment="1">
      <alignment horizontal="center" vertical="center" wrapText="1"/>
    </xf>
    <xf numFmtId="0" fontId="21" fillId="24" borderId="1" xfId="0" applyFont="1" applyFill="1" applyBorder="1" applyAlignment="1">
      <alignment horizontal="center" vertical="center" wrapText="1"/>
    </xf>
    <xf numFmtId="166" fontId="20" fillId="0" borderId="5" xfId="10" applyNumberFormat="1" applyFont="1" applyFill="1" applyBorder="1" applyAlignment="1">
      <alignment horizontal="center" vertical="center"/>
    </xf>
    <xf numFmtId="0" fontId="2" fillId="0" borderId="6" xfId="0" applyFont="1" applyBorder="1"/>
    <xf numFmtId="4" fontId="2" fillId="0" borderId="6" xfId="0" applyNumberFormat="1" applyFont="1" applyBorder="1"/>
    <xf numFmtId="0" fontId="2" fillId="0" borderId="6" xfId="0" applyFont="1" applyBorder="1" applyAlignment="1">
      <alignment wrapText="1"/>
    </xf>
    <xf numFmtId="0" fontId="0" fillId="25" borderId="31" xfId="0" applyFont="1" applyFill="1" applyBorder="1"/>
    <xf numFmtId="0" fontId="0" fillId="0" borderId="31" xfId="0" applyFont="1" applyBorder="1"/>
    <xf numFmtId="44" fontId="2" fillId="0" borderId="6" xfId="10" applyFont="1" applyBorder="1"/>
    <xf numFmtId="0" fontId="2" fillId="0" borderId="20" xfId="0" applyFont="1" applyBorder="1"/>
    <xf numFmtId="44" fontId="2" fillId="0" borderId="20" xfId="10" applyFont="1" applyBorder="1"/>
    <xf numFmtId="0" fontId="0" fillId="25" borderId="2" xfId="0" applyFont="1" applyFill="1" applyBorder="1"/>
    <xf numFmtId="4" fontId="2" fillId="0" borderId="2" xfId="0" applyNumberFormat="1" applyFont="1" applyBorder="1"/>
    <xf numFmtId="0" fontId="0" fillId="0" borderId="2" xfId="0" applyFont="1" applyBorder="1"/>
    <xf numFmtId="0" fontId="3" fillId="0" borderId="2" xfId="0" applyFont="1" applyBorder="1"/>
    <xf numFmtId="4" fontId="20" fillId="2" borderId="4" xfId="0" applyNumberFormat="1" applyFont="1" applyFill="1" applyBorder="1" applyAlignment="1">
      <alignment horizontal="center" vertical="center"/>
    </xf>
    <xf numFmtId="4" fontId="20" fillId="2" borderId="2" xfId="0" applyNumberFormat="1" applyFont="1" applyFill="1" applyBorder="1" applyAlignment="1">
      <alignment horizontal="center" vertical="center"/>
    </xf>
    <xf numFmtId="0" fontId="20" fillId="20" borderId="4" xfId="0" applyFont="1" applyFill="1" applyBorder="1" applyAlignment="1">
      <alignment horizontal="center" vertical="center" wrapText="1"/>
    </xf>
    <xf numFmtId="165" fontId="23" fillId="22" borderId="11" xfId="0" applyNumberFormat="1" applyFont="1" applyFill="1" applyBorder="1" applyAlignment="1">
      <alignment horizontal="center" vertical="center"/>
    </xf>
    <xf numFmtId="0" fontId="31" fillId="14" borderId="2" xfId="0" applyFont="1" applyFill="1" applyBorder="1" applyAlignment="1">
      <alignment horizontal="center" vertical="center" wrapText="1"/>
    </xf>
    <xf numFmtId="1" fontId="19" fillId="8" borderId="2" xfId="4" applyNumberFormat="1" applyFont="1" applyFill="1" applyBorder="1" applyAlignment="1">
      <alignment horizontal="center" vertical="center"/>
    </xf>
    <xf numFmtId="165" fontId="20" fillId="0" borderId="2" xfId="4" applyNumberFormat="1" applyFont="1" applyFill="1" applyBorder="1" applyAlignment="1">
      <alignment horizontal="center" vertical="center"/>
    </xf>
    <xf numFmtId="0" fontId="40" fillId="0" borderId="32" xfId="0" applyFont="1" applyBorder="1" applyAlignment="1">
      <alignment horizontal="center" vertical="center" wrapText="1"/>
    </xf>
    <xf numFmtId="0" fontId="41" fillId="0" borderId="33" xfId="0" applyFont="1" applyBorder="1" applyAlignment="1">
      <alignment horizontal="center" vertical="center" wrapText="1"/>
    </xf>
    <xf numFmtId="0" fontId="41" fillId="0" borderId="34" xfId="0" applyFont="1" applyBorder="1" applyAlignment="1">
      <alignment horizontal="center" vertical="center" wrapText="1"/>
    </xf>
    <xf numFmtId="0" fontId="42" fillId="0" borderId="35" xfId="0" applyFont="1" applyBorder="1" applyAlignment="1">
      <alignment horizontal="center" vertical="center" wrapText="1"/>
    </xf>
    <xf numFmtId="0" fontId="43" fillId="0" borderId="36" xfId="0" applyFont="1" applyBorder="1" applyAlignment="1">
      <alignment horizontal="center" vertical="center" wrapText="1"/>
    </xf>
    <xf numFmtId="0" fontId="43" fillId="0" borderId="37" xfId="0" applyFont="1" applyBorder="1" applyAlignment="1">
      <alignment horizontal="center" vertical="center" wrapText="1"/>
    </xf>
    <xf numFmtId="0" fontId="44" fillId="0" borderId="36" xfId="0" applyFont="1" applyBorder="1" applyAlignment="1">
      <alignment horizontal="center" vertical="center" wrapText="1"/>
    </xf>
    <xf numFmtId="0" fontId="44"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21" fillId="0" borderId="26" xfId="0" applyFont="1" applyBorder="1" applyAlignment="1">
      <alignment horizontal="center" vertical="center" wrapText="1"/>
    </xf>
    <xf numFmtId="0" fontId="19" fillId="11" borderId="27" xfId="5"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1" xfId="0" applyFont="1" applyFill="1" applyBorder="1" applyAlignment="1">
      <alignment horizontal="center" vertical="center"/>
    </xf>
    <xf numFmtId="1" fontId="20" fillId="0" borderId="21" xfId="0" applyNumberFormat="1" applyFont="1" applyFill="1" applyBorder="1" applyAlignment="1">
      <alignment horizontal="center" vertical="center" wrapText="1"/>
    </xf>
    <xf numFmtId="1" fontId="19" fillId="0" borderId="21" xfId="0" applyNumberFormat="1" applyFont="1" applyFill="1" applyBorder="1" applyAlignment="1">
      <alignment horizontal="center" vertical="center" wrapText="1"/>
    </xf>
    <xf numFmtId="9" fontId="19" fillId="0" borderId="21" xfId="4" applyFont="1" applyFill="1" applyBorder="1" applyAlignment="1">
      <alignment horizontal="center" vertical="center" wrapText="1"/>
    </xf>
    <xf numFmtId="4" fontId="19" fillId="0" borderId="25" xfId="10" applyNumberFormat="1" applyFont="1" applyFill="1" applyBorder="1" applyAlignment="1">
      <alignment horizontal="center" vertical="center"/>
    </xf>
    <xf numFmtId="1" fontId="23" fillId="0" borderId="21" xfId="0" applyNumberFormat="1" applyFont="1" applyFill="1" applyBorder="1" applyAlignment="1">
      <alignment horizontal="center" vertical="center" wrapText="1"/>
    </xf>
    <xf numFmtId="0" fontId="22" fillId="0" borderId="29" xfId="0" applyFont="1" applyFill="1" applyBorder="1" applyAlignment="1">
      <alignment horizontal="center" vertical="center"/>
    </xf>
    <xf numFmtId="0" fontId="22" fillId="0" borderId="30" xfId="0" applyFont="1" applyFill="1" applyBorder="1" applyAlignment="1">
      <alignment horizontal="center" vertical="center"/>
    </xf>
    <xf numFmtId="1" fontId="20" fillId="0" borderId="30" xfId="0" applyNumberFormat="1" applyFont="1" applyFill="1" applyBorder="1" applyAlignment="1">
      <alignment horizontal="center" vertical="center" wrapText="1"/>
    </xf>
    <xf numFmtId="1" fontId="19" fillId="0" borderId="30" xfId="0" applyNumberFormat="1" applyFont="1" applyFill="1" applyBorder="1" applyAlignment="1">
      <alignment horizontal="center" vertical="center" wrapText="1"/>
    </xf>
    <xf numFmtId="0" fontId="19" fillId="6" borderId="27" xfId="5" applyFont="1" applyFill="1" applyBorder="1" applyAlignment="1">
      <alignment horizontal="center" vertical="center" wrapText="1"/>
    </xf>
    <xf numFmtId="9" fontId="20" fillId="0" borderId="16" xfId="4" applyFont="1" applyFill="1" applyBorder="1" applyAlignment="1">
      <alignment horizontal="center" vertical="center"/>
    </xf>
    <xf numFmtId="3" fontId="20" fillId="0" borderId="2" xfId="0" applyNumberFormat="1" applyFont="1" applyFill="1" applyBorder="1" applyAlignment="1">
      <alignment horizontal="center" vertical="center"/>
    </xf>
    <xf numFmtId="1" fontId="20" fillId="0" borderId="2" xfId="4" applyNumberFormat="1" applyFont="1" applyFill="1" applyBorder="1" applyAlignment="1">
      <alignment horizontal="center" vertical="center" wrapText="1"/>
    </xf>
    <xf numFmtId="9" fontId="20" fillId="0" borderId="2" xfId="4" applyFont="1" applyFill="1" applyBorder="1" applyAlignment="1">
      <alignment horizontal="center" vertical="center"/>
    </xf>
    <xf numFmtId="0" fontId="20" fillId="0" borderId="19" xfId="0" applyFont="1" applyFill="1" applyBorder="1" applyAlignment="1">
      <alignment horizontal="center" vertical="center"/>
    </xf>
    <xf numFmtId="1" fontId="20" fillId="0" borderId="1" xfId="4"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166" fontId="20" fillId="0" borderId="15" xfId="10" applyNumberFormat="1" applyFont="1" applyFill="1" applyBorder="1" applyAlignment="1">
      <alignment horizontal="center" vertical="center"/>
    </xf>
    <xf numFmtId="44" fontId="45" fillId="0" borderId="4" xfId="10" applyFont="1" applyFill="1" applyBorder="1" applyAlignment="1">
      <alignment horizontal="center" vertical="center" wrapText="1"/>
    </xf>
    <xf numFmtId="44" fontId="37" fillId="0" borderId="4" xfId="10" applyFont="1" applyFill="1" applyBorder="1" applyAlignment="1">
      <alignment horizontal="center" vertical="center" wrapText="1"/>
    </xf>
    <xf numFmtId="44" fontId="37" fillId="18" borderId="16" xfId="10" applyFont="1" applyFill="1" applyBorder="1" applyAlignment="1">
      <alignment horizontal="center" vertical="center" wrapText="1"/>
    </xf>
    <xf numFmtId="0" fontId="47" fillId="14" borderId="11" xfId="0" applyFont="1" applyFill="1" applyBorder="1" applyAlignment="1">
      <alignment horizontal="center" vertical="center" wrapText="1"/>
    </xf>
    <xf numFmtId="0" fontId="22" fillId="0" borderId="6" xfId="0" applyFont="1" applyBorder="1" applyAlignment="1">
      <alignment horizontal="center" vertical="center"/>
    </xf>
    <xf numFmtId="9" fontId="22" fillId="6" borderId="6" xfId="0" applyNumberFormat="1" applyFont="1" applyFill="1" applyBorder="1" applyAlignment="1">
      <alignment horizontal="center" vertical="center"/>
    </xf>
    <xf numFmtId="0" fontId="48" fillId="0" borderId="0" xfId="0" applyFont="1" applyAlignment="1">
      <alignment horizontal="center" vertical="center"/>
    </xf>
    <xf numFmtId="0" fontId="23" fillId="0" borderId="0" xfId="0" applyFont="1" applyFill="1" applyBorder="1" applyAlignment="1">
      <alignment wrapText="1"/>
    </xf>
    <xf numFmtId="164" fontId="22" fillId="0" borderId="2" xfId="1" applyNumberFormat="1" applyFont="1" applyFill="1" applyBorder="1" applyAlignment="1">
      <alignment horizontal="center" vertical="center" wrapText="1"/>
    </xf>
    <xf numFmtId="164" fontId="23" fillId="0" borderId="2" xfId="1" applyNumberFormat="1" applyFont="1" applyFill="1" applyBorder="1" applyAlignment="1">
      <alignment horizontal="center" vertical="center" wrapText="1"/>
    </xf>
    <xf numFmtId="164" fontId="22" fillId="0" borderId="2" xfId="1" applyNumberFormat="1" applyFont="1" applyFill="1" applyBorder="1" applyAlignment="1" applyProtection="1">
      <alignment horizontal="center" vertical="center" wrapText="1"/>
      <protection locked="0"/>
    </xf>
    <xf numFmtId="165" fontId="20" fillId="0" borderId="2" xfId="4" applyNumberFormat="1" applyFont="1" applyBorder="1" applyAlignment="1">
      <alignment horizontal="center" vertical="center"/>
    </xf>
    <xf numFmtId="9" fontId="22" fillId="0" borderId="6" xfId="0" applyNumberFormat="1" applyFont="1" applyFill="1" applyBorder="1" applyAlignment="1">
      <alignment horizontal="center" vertical="center" wrapText="1"/>
    </xf>
    <xf numFmtId="165" fontId="21" fillId="18" borderId="20" xfId="1" applyNumberFormat="1" applyFont="1" applyFill="1" applyBorder="1" applyAlignment="1">
      <alignment horizontal="center" vertical="center" wrapText="1"/>
    </xf>
    <xf numFmtId="165" fontId="21" fillId="18" borderId="0" xfId="0" applyNumberFormat="1" applyFont="1" applyFill="1" applyBorder="1" applyAlignment="1">
      <alignment horizontal="center" vertical="center" wrapText="1"/>
    </xf>
    <xf numFmtId="165" fontId="21" fillId="18" borderId="20" xfId="0" applyNumberFormat="1" applyFont="1" applyFill="1" applyBorder="1" applyAlignment="1">
      <alignment horizontal="center" vertical="center" wrapText="1"/>
    </xf>
    <xf numFmtId="165" fontId="22" fillId="9" borderId="0" xfId="0" applyNumberFormat="1" applyFont="1" applyFill="1" applyAlignment="1">
      <alignment horizontal="center" vertical="center" wrapText="1"/>
    </xf>
    <xf numFmtId="0" fontId="36" fillId="12" borderId="39" xfId="0" applyFont="1" applyFill="1" applyBorder="1" applyAlignment="1">
      <alignment horizontal="center" vertical="center" wrapText="1"/>
    </xf>
    <xf numFmtId="0" fontId="31" fillId="14" borderId="1" xfId="0" applyFont="1" applyFill="1" applyBorder="1" applyAlignment="1">
      <alignment horizontal="center" vertical="center" wrapText="1"/>
    </xf>
    <xf numFmtId="0" fontId="21" fillId="20" borderId="1" xfId="0" applyFont="1" applyFill="1" applyBorder="1" applyAlignment="1">
      <alignment horizontal="center" vertical="center" wrapText="1"/>
    </xf>
    <xf numFmtId="44" fontId="19" fillId="20" borderId="38" xfId="10" applyNumberFormat="1" applyFont="1" applyFill="1" applyBorder="1" applyAlignment="1">
      <alignment horizontal="center" vertical="center" wrapText="1"/>
    </xf>
    <xf numFmtId="0" fontId="21" fillId="26" borderId="6" xfId="0" applyFont="1" applyFill="1" applyBorder="1" applyAlignment="1">
      <alignment horizontal="center" vertical="center" wrapText="1"/>
    </xf>
    <xf numFmtId="0" fontId="22" fillId="26" borderId="1" xfId="0" applyFont="1" applyFill="1" applyBorder="1" applyAlignment="1">
      <alignment horizontal="center" vertical="center" wrapText="1"/>
    </xf>
    <xf numFmtId="0" fontId="21" fillId="26" borderId="1" xfId="0" applyFont="1" applyFill="1" applyBorder="1" applyAlignment="1">
      <alignment horizontal="center" vertical="center" wrapText="1"/>
    </xf>
    <xf numFmtId="0" fontId="34" fillId="26" borderId="1" xfId="0" applyFont="1" applyFill="1" applyBorder="1" applyAlignment="1">
      <alignment horizontal="center" vertical="center" wrapText="1"/>
    </xf>
    <xf numFmtId="0" fontId="30" fillId="26" borderId="1" xfId="0" applyFont="1" applyFill="1" applyBorder="1" applyAlignment="1">
      <alignment horizontal="center" vertical="center" wrapText="1"/>
    </xf>
    <xf numFmtId="0" fontId="35" fillId="26" borderId="6" xfId="0" applyFont="1" applyFill="1" applyBorder="1" applyAlignment="1">
      <alignment horizontal="center" vertical="center" wrapText="1"/>
    </xf>
    <xf numFmtId="165" fontId="35" fillId="26" borderId="0" xfId="0" applyNumberFormat="1" applyFont="1" applyFill="1" applyAlignment="1">
      <alignment horizontal="center" vertical="center" wrapText="1"/>
    </xf>
    <xf numFmtId="0" fontId="21" fillId="26" borderId="23" xfId="0" applyFont="1" applyFill="1" applyBorder="1" applyAlignment="1">
      <alignment horizontal="center" vertical="center" wrapText="1"/>
    </xf>
    <xf numFmtId="0" fontId="21" fillId="26" borderId="14" xfId="0" applyFont="1" applyFill="1" applyBorder="1" applyAlignment="1">
      <alignment horizontal="center" vertical="center" wrapText="1"/>
    </xf>
    <xf numFmtId="0" fontId="22" fillId="0" borderId="0" xfId="0" applyFont="1" applyFill="1" applyAlignment="1">
      <alignment horizontal="center" vertical="center"/>
    </xf>
    <xf numFmtId="0" fontId="21" fillId="0" borderId="0" xfId="0" applyFont="1" applyFill="1" applyBorder="1" applyAlignment="1">
      <alignment horizontal="center" vertical="center" wrapText="1"/>
    </xf>
    <xf numFmtId="0" fontId="22" fillId="9" borderId="6" xfId="0" applyFont="1" applyFill="1" applyBorder="1" applyAlignment="1">
      <alignment horizontal="center" vertical="center"/>
    </xf>
    <xf numFmtId="2" fontId="22" fillId="9" borderId="6" xfId="0" applyNumberFormat="1" applyFont="1" applyFill="1" applyBorder="1" applyAlignment="1">
      <alignment horizontal="center" vertical="center"/>
    </xf>
    <xf numFmtId="0" fontId="20" fillId="9" borderId="2" xfId="0" applyFont="1" applyFill="1" applyBorder="1" applyAlignment="1">
      <alignment horizontal="center" vertical="center"/>
    </xf>
    <xf numFmtId="9" fontId="20" fillId="9" borderId="2" xfId="0" applyNumberFormat="1" applyFont="1" applyFill="1" applyBorder="1" applyAlignment="1">
      <alignment horizontal="center" vertical="center"/>
    </xf>
    <xf numFmtId="0" fontId="20" fillId="9" borderId="1" xfId="0" applyFont="1" applyFill="1" applyBorder="1" applyAlignment="1">
      <alignment horizontal="center" vertical="center"/>
    </xf>
    <xf numFmtId="1" fontId="20" fillId="9" borderId="15" xfId="0" applyNumberFormat="1" applyFont="1" applyFill="1" applyBorder="1" applyAlignment="1">
      <alignment horizontal="center" vertical="center"/>
    </xf>
    <xf numFmtId="0" fontId="20" fillId="9" borderId="6" xfId="0" applyFont="1" applyFill="1" applyBorder="1" applyAlignment="1">
      <alignment horizontal="center" vertical="center"/>
    </xf>
    <xf numFmtId="1" fontId="20" fillId="9" borderId="20" xfId="0" applyNumberFormat="1" applyFont="1" applyFill="1" applyBorder="1" applyAlignment="1">
      <alignment horizontal="center" vertical="center"/>
    </xf>
    <xf numFmtId="1" fontId="22" fillId="9" borderId="20" xfId="0" applyNumberFormat="1" applyFont="1" applyFill="1" applyBorder="1" applyAlignment="1">
      <alignment horizontal="center" vertical="center"/>
    </xf>
    <xf numFmtId="0" fontId="31" fillId="23" borderId="6" xfId="0" applyFont="1" applyFill="1" applyBorder="1" applyAlignment="1">
      <alignment horizontal="center" vertical="center" wrapText="1"/>
    </xf>
    <xf numFmtId="0" fontId="20" fillId="9" borderId="4" xfId="0" applyFont="1" applyFill="1" applyBorder="1" applyAlignment="1">
      <alignment horizontal="center" vertical="center" wrapText="1"/>
    </xf>
    <xf numFmtId="3" fontId="22" fillId="9" borderId="6" xfId="0" applyNumberFormat="1" applyFont="1" applyFill="1" applyBorder="1" applyAlignment="1">
      <alignment horizontal="left" vertical="center" wrapText="1"/>
    </xf>
    <xf numFmtId="3" fontId="22" fillId="9" borderId="6" xfId="0" applyNumberFormat="1" applyFont="1" applyFill="1" applyBorder="1" applyAlignment="1">
      <alignment horizontal="center" vertical="center" wrapText="1"/>
    </xf>
    <xf numFmtId="164" fontId="0" fillId="0" borderId="0" xfId="0" applyNumberFormat="1"/>
    <xf numFmtId="0" fontId="21" fillId="8" borderId="2" xfId="0" applyFont="1" applyFill="1" applyBorder="1" applyAlignment="1">
      <alignment horizontal="center" vertical="center" wrapText="1"/>
    </xf>
    <xf numFmtId="0" fontId="26" fillId="7" borderId="27" xfId="5" applyFont="1" applyFill="1" applyBorder="1" applyAlignment="1">
      <alignment horizontal="center" vertical="center" wrapText="1"/>
    </xf>
    <xf numFmtId="0" fontId="26" fillId="5" borderId="27" xfId="5" applyFont="1" applyFill="1" applyBorder="1" applyAlignment="1">
      <alignment horizontal="center" vertical="center" wrapText="1"/>
    </xf>
    <xf numFmtId="0" fontId="49" fillId="13" borderId="0" xfId="0" applyFont="1" applyFill="1" applyAlignment="1">
      <alignment horizontal="center" vertical="center" wrapText="1"/>
    </xf>
    <xf numFmtId="0" fontId="50" fillId="16" borderId="0" xfId="0" applyFont="1" applyFill="1" applyAlignment="1">
      <alignment horizontal="center" vertical="center"/>
    </xf>
    <xf numFmtId="0" fontId="51" fillId="10" borderId="0" xfId="0" applyFont="1" applyFill="1" applyAlignment="1">
      <alignment horizontal="center" vertical="center" wrapText="1"/>
    </xf>
    <xf numFmtId="0" fontId="52" fillId="16" borderId="0" xfId="0" applyFont="1" applyFill="1" applyAlignment="1">
      <alignment horizontal="left"/>
    </xf>
    <xf numFmtId="0" fontId="51" fillId="10" borderId="0" xfId="0" applyFont="1" applyFill="1" applyAlignment="1">
      <alignment wrapText="1"/>
    </xf>
    <xf numFmtId="0" fontId="52" fillId="16" borderId="0" xfId="0" applyFont="1" applyFill="1" applyAlignment="1">
      <alignment horizontal="center" vertical="center"/>
    </xf>
    <xf numFmtId="0" fontId="50" fillId="0" borderId="0" xfId="0" applyFont="1" applyAlignment="1">
      <alignment horizontal="center" vertical="center"/>
    </xf>
    <xf numFmtId="0" fontId="22" fillId="0" borderId="0" xfId="0" applyFont="1" applyFill="1" applyBorder="1" applyAlignment="1">
      <alignment horizontal="center" vertical="center"/>
    </xf>
    <xf numFmtId="0" fontId="53" fillId="2" borderId="0" xfId="0" applyFont="1" applyFill="1" applyAlignment="1">
      <alignment wrapText="1"/>
    </xf>
    <xf numFmtId="0" fontId="22" fillId="2" borderId="0" xfId="0" applyFont="1" applyFill="1" applyAlignment="1">
      <alignment horizontal="center" vertical="center"/>
    </xf>
    <xf numFmtId="0" fontId="2" fillId="0" borderId="0" xfId="0" applyFont="1" applyAlignment="1">
      <alignment horizontal="left"/>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1" fillId="23" borderId="22" xfId="0" applyFont="1" applyFill="1" applyBorder="1" applyAlignment="1">
      <alignment horizontal="centerContinuous" vertical="center" wrapText="1"/>
    </xf>
    <xf numFmtId="0" fontId="2" fillId="0" borderId="2" xfId="0" applyFont="1" applyBorder="1" applyAlignment="1">
      <alignment horizontal="left"/>
    </xf>
    <xf numFmtId="4" fontId="5" fillId="0" borderId="2" xfId="0" applyNumberFormat="1" applyFont="1" applyFill="1" applyBorder="1" applyAlignment="1">
      <alignment horizontal="left" wrapText="1"/>
    </xf>
    <xf numFmtId="0" fontId="3" fillId="0" borderId="2" xfId="0" applyFont="1" applyBorder="1" applyAlignment="1">
      <alignment horizontal="center"/>
    </xf>
    <xf numFmtId="0" fontId="3" fillId="4" borderId="1"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2" fillId="0" borderId="0" xfId="0" applyFont="1" applyAlignment="1">
      <alignment horizontal="left"/>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 fontId="5" fillId="0" borderId="2" xfId="0" applyNumberFormat="1" applyFont="1" applyFill="1" applyBorder="1" applyAlignment="1">
      <alignment horizontal="left"/>
    </xf>
    <xf numFmtId="0" fontId="0" fillId="0" borderId="0" xfId="0" applyNumberFormat="1"/>
  </cellXfs>
  <cellStyles count="11">
    <cellStyle name="Hyperlink" xfId="9" xr:uid="{00000000-0005-0000-0000-000000000000}"/>
    <cellStyle name="Moeda" xfId="10" builtinId="4"/>
    <cellStyle name="Normal" xfId="0" builtinId="0"/>
    <cellStyle name="Normal 11" xfId="8" xr:uid="{00000000-0005-0000-0000-000003000000}"/>
    <cellStyle name="Normal 2" xfId="2" xr:uid="{00000000-0005-0000-0000-000004000000}"/>
    <cellStyle name="Normal 3" xfId="5" xr:uid="{00000000-0005-0000-0000-000005000000}"/>
    <cellStyle name="Porcentagem" xfId="4" builtinId="5"/>
    <cellStyle name="Porcentagem 2" xfId="7" xr:uid="{00000000-0005-0000-0000-000007000000}"/>
    <cellStyle name="Vírgula" xfId="1" builtinId="3"/>
    <cellStyle name="Vírgula 2" xfId="3" xr:uid="{00000000-0005-0000-0000-000009000000}"/>
    <cellStyle name="Vírgula 3" xfId="6" xr:uid="{00000000-0005-0000-0000-00000A000000}"/>
  </cellStyles>
  <dxfs count="85">
    <dxf>
      <numFmt numFmtId="0" formatCode="General"/>
    </dxf>
    <dxf>
      <font>
        <b val="0"/>
        <i val="0"/>
        <strike val="0"/>
        <condense val="0"/>
        <extend val="0"/>
        <outline val="0"/>
        <shadow val="0"/>
        <u val="none"/>
        <vertAlign val="baseline"/>
        <sz val="10"/>
        <color rgb="FF000000"/>
        <name val="Spranq eco sans"/>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rgb="FFCCCCCC"/>
        </left>
        <right/>
        <top style="medium">
          <color rgb="FFCCCCCC"/>
        </top>
        <bottom style="medium">
          <color rgb="FF000000"/>
        </bottom>
      </border>
    </dxf>
    <dxf>
      <font>
        <b val="0"/>
        <i val="0"/>
        <strike val="0"/>
        <condense val="0"/>
        <extend val="0"/>
        <outline val="0"/>
        <shadow val="0"/>
        <u val="none"/>
        <vertAlign val="baseline"/>
        <sz val="10"/>
        <color rgb="FF000000"/>
        <name val="Spranq eco sans"/>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rgb="FFCCCCCC"/>
        </left>
        <right style="medium">
          <color rgb="FF000000"/>
        </right>
        <top style="medium">
          <color rgb="FFCCCCCC"/>
        </top>
        <bottom style="medium">
          <color rgb="FF000000"/>
        </bottom>
      </border>
    </dxf>
    <dxf>
      <font>
        <b val="0"/>
        <i val="0"/>
        <strike val="0"/>
        <condense val="0"/>
        <extend val="0"/>
        <outline val="0"/>
        <shadow val="0"/>
        <u val="none"/>
        <vertAlign val="baseline"/>
        <sz val="10"/>
        <color rgb="FF000000"/>
        <name val="Spranq eco sans"/>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medium">
          <color rgb="FFCCCCCC"/>
        </left>
        <right style="medium">
          <color rgb="FF000000"/>
        </right>
        <top style="medium">
          <color rgb="FFCCCCCC"/>
        </top>
        <bottom style="medium">
          <color rgb="FF000000"/>
        </bottom>
        <vertical/>
        <horizontal/>
      </border>
    </dxf>
    <dxf>
      <font>
        <b val="0"/>
        <i val="0"/>
        <strike val="0"/>
        <condense val="0"/>
        <extend val="0"/>
        <outline val="0"/>
        <shadow val="0"/>
        <u val="none"/>
        <vertAlign val="baseline"/>
        <sz val="10"/>
        <color rgb="FF000000"/>
        <name val="Spranq eco sans"/>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medium">
          <color rgb="FFCCCCCC"/>
        </left>
        <right style="medium">
          <color rgb="FF000000"/>
        </right>
        <top style="medium">
          <color rgb="FFCCCCCC"/>
        </top>
        <bottom style="medium">
          <color rgb="FF000000"/>
        </bottom>
      </border>
    </dxf>
    <dxf>
      <font>
        <b val="0"/>
        <i val="0"/>
        <strike val="0"/>
        <condense val="0"/>
        <extend val="0"/>
        <outline val="0"/>
        <shadow val="0"/>
        <u val="none"/>
        <vertAlign val="baseline"/>
        <sz val="10"/>
        <color rgb="FF000000"/>
        <name val="Spranq eco sans"/>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rgb="FFCCCCCC"/>
        </left>
        <right style="medium">
          <color rgb="FF000000"/>
        </right>
        <top style="medium">
          <color rgb="FFCCCCCC"/>
        </top>
        <bottom style="medium">
          <color rgb="FF000000"/>
        </bottom>
      </border>
    </dxf>
    <dxf>
      <font>
        <b val="0"/>
        <i val="0"/>
        <strike val="0"/>
        <condense val="0"/>
        <extend val="0"/>
        <outline val="0"/>
        <shadow val="0"/>
        <u val="none"/>
        <vertAlign val="baseline"/>
        <sz val="10"/>
        <color rgb="FF000000"/>
        <name val="Spranq eco sans"/>
        <scheme val="none"/>
      </font>
      <fill>
        <patternFill patternType="none">
          <fgColor indexed="64"/>
          <bgColor indexed="65"/>
        </patternFill>
      </fill>
      <alignment horizontal="center" vertical="center" textRotation="0" wrapText="1" indent="0" justifyLastLine="0" shrinkToFit="0" readingOrder="0"/>
      <border diagonalUp="0" diagonalDown="0">
        <left style="medium">
          <color rgb="FFCCCCCC"/>
        </left>
        <right style="medium">
          <color rgb="FF000000"/>
        </right>
        <top style="medium">
          <color rgb="FFCCCCCC"/>
        </top>
        <bottom style="medium">
          <color rgb="FF000000"/>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medium">
          <color rgb="FF000000"/>
        </right>
        <top style="medium">
          <color rgb="FFCCCCCC"/>
        </top>
        <bottom style="medium">
          <color rgb="FFCCCCCC"/>
        </bottom>
      </border>
    </dxf>
    <dxf>
      <border outline="0">
        <top style="medium">
          <color rgb="FFCCCCCC"/>
        </top>
      </border>
    </dxf>
    <dxf>
      <border outline="0">
        <left style="medium">
          <color rgb="FF000000"/>
        </left>
        <right style="medium">
          <color rgb="FF000000"/>
        </right>
        <top style="medium">
          <color rgb="FF000000"/>
        </top>
      </border>
    </dxf>
    <dxf>
      <alignment horizontal="center" textRotation="0" indent="0" justifyLastLine="0" shrinkToFit="0" readingOrder="0"/>
    </dxf>
    <dxf>
      <border outline="0">
        <bottom style="medium">
          <color rgb="FF000000"/>
        </bottom>
      </border>
    </dxf>
    <dxf>
      <font>
        <b/>
        <i val="0"/>
        <strike val="0"/>
        <condense val="0"/>
        <extend val="0"/>
        <outline val="0"/>
        <shadow val="0"/>
        <u val="none"/>
        <vertAlign val="baseline"/>
        <sz val="12"/>
        <color theme="0"/>
        <name val="Spranq eco sans"/>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4" formatCode="#,##0.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dxf>
    <dxf>
      <font>
        <b val="0"/>
        <i val="0"/>
        <strike/>
        <condense val="0"/>
        <extend val="0"/>
        <outline val="0"/>
        <shadow val="0"/>
        <u val="none"/>
        <vertAlign val="baseline"/>
        <sz val="8"/>
        <color rgb="FF333333"/>
        <name val="Verdana"/>
        <scheme val="none"/>
      </font>
      <fill>
        <patternFill patternType="solid">
          <fgColor rgb="FF000000"/>
          <bgColor rgb="FFFFFFFF"/>
        </patternFill>
      </fill>
      <alignment horizontal="general" vertical="bottom" textRotation="0" wrapText="1" indent="0" justifyLastLine="0" shrinkToFit="0" readingOrder="0"/>
    </dxf>
    <dxf>
      <numFmt numFmtId="0" formatCode="General"/>
      <fill>
        <patternFill patternType="solid">
          <fgColor indexed="64"/>
          <bgColor rgb="FFDDEBF7"/>
        </patternFill>
      </fill>
      <alignment horizontal="center" vertical="bottom" textRotation="0" wrapText="0" indent="0" justifyLastLine="0" shrinkToFit="0" readingOrder="0"/>
    </dxf>
    <dxf>
      <font>
        <b val="0"/>
        <i val="0"/>
        <strike val="0"/>
        <condense val="0"/>
        <extend val="0"/>
        <outline val="0"/>
        <shadow val="0"/>
        <u val="none"/>
        <vertAlign val="baseline"/>
        <sz val="8"/>
        <color rgb="FF333333"/>
        <name val="Verdana"/>
        <scheme val="none"/>
      </font>
      <numFmt numFmtId="0" formatCode="General"/>
      <fill>
        <patternFill patternType="solid">
          <fgColor indexed="64"/>
          <bgColor rgb="FFDDEBF7"/>
        </patternFill>
      </fill>
      <alignment horizontal="left" vertical="bottom" textRotation="0" wrapText="0" indent="0" justifyLastLine="0" shrinkToFit="0" readingOrder="0"/>
    </dxf>
    <dxf>
      <numFmt numFmtId="0" formatCode="General"/>
    </dxf>
    <dxf>
      <font>
        <b val="0"/>
        <i val="0"/>
        <strike val="0"/>
        <condense val="0"/>
        <extend val="0"/>
        <outline val="0"/>
        <shadow val="0"/>
        <u val="none"/>
        <vertAlign val="baseline"/>
        <sz val="8"/>
        <color rgb="FF333333"/>
        <name val="Verdana"/>
        <scheme val="none"/>
      </font>
      <fill>
        <patternFill patternType="solid">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8"/>
        <color rgb="FF333333"/>
        <name val="Verdana"/>
        <scheme val="none"/>
      </font>
      <numFmt numFmtId="4" formatCode="#,##0.00"/>
      <fill>
        <patternFill patternType="solid">
          <fgColor indexed="64"/>
          <bgColor rgb="FFDDEBF7"/>
        </patternFill>
      </fill>
      <alignment horizontal="left" vertical="bottom" textRotation="0" wrapText="0" indent="0" justifyLastLine="0" shrinkToFit="0" readingOrder="0"/>
    </dxf>
    <dxf>
      <font>
        <b val="0"/>
        <i val="0"/>
        <strike val="0"/>
        <condense val="0"/>
        <extend val="0"/>
        <outline val="0"/>
        <shadow val="0"/>
        <u val="none"/>
        <vertAlign val="baseline"/>
        <sz val="8"/>
        <color rgb="FF333333"/>
        <name val="Verdana"/>
        <scheme val="none"/>
      </font>
      <fill>
        <patternFill patternType="solid">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8"/>
        <color rgb="FF333333"/>
        <name val="Verdana"/>
        <scheme val="none"/>
      </font>
      <fill>
        <patternFill patternType="solid">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8"/>
        <color rgb="FF333333"/>
        <name val="Verdana"/>
        <scheme val="none"/>
      </font>
      <fill>
        <patternFill patternType="solid">
          <fgColor rgb="FF000000"/>
          <bgColor rgb="FFFFFFFF"/>
        </patternFill>
      </fill>
      <alignment horizontal="general" vertical="bottom" textRotation="0" wrapText="1" indent="0" justifyLastLine="0" shrinkToFit="0" readingOrder="0"/>
    </dxf>
    <dxf>
      <fill>
        <patternFill patternType="solid">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fill>
        <patternFill patternType="solid">
          <fgColor indexed="64"/>
          <bgColor theme="0" tint="-4.9989318521683403E-2"/>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8"/>
        <color rgb="FF333333"/>
        <name val="Verdana"/>
        <scheme val="none"/>
      </font>
      <fill>
        <patternFill patternType="solid">
          <fgColor rgb="FF000000"/>
          <bgColor rgb="FFFFFFFF"/>
        </patternFill>
      </fill>
      <alignment horizontal="general" vertical="bottom" textRotation="0" wrapText="1" indent="0" justifyLastLine="0" shrinkToFit="0" readingOrder="0"/>
    </dxf>
    <dxf>
      <font>
        <b/>
        <i val="0"/>
        <strike val="0"/>
        <condense val="0"/>
        <extend val="0"/>
        <outline val="0"/>
        <shadow val="0"/>
        <u val="none"/>
        <vertAlign val="baseline"/>
        <sz val="8"/>
        <color rgb="FF094909"/>
        <name val="Verdana"/>
        <scheme val="none"/>
      </font>
      <fill>
        <patternFill patternType="solid">
          <fgColor rgb="FF000000"/>
          <bgColor rgb="FFE9EFD3"/>
        </patternFill>
      </fill>
      <alignment horizontal="center" vertical="center" textRotation="0" wrapText="1" indent="0" justifyLastLine="0" shrinkToFit="0" readingOrder="0"/>
    </dxf>
    <dxf>
      <font>
        <b/>
        <i val="0"/>
        <strike val="0"/>
        <condense val="0"/>
        <extend val="0"/>
        <outline val="0"/>
        <shadow val="0"/>
        <u val="none"/>
        <vertAlign val="baseline"/>
        <sz val="10"/>
        <color auto="1"/>
        <name val="Verdana"/>
        <scheme val="none"/>
      </font>
      <numFmt numFmtId="4" formatCode="#,##0.00"/>
      <fill>
        <patternFill patternType="none">
          <fgColor indexed="64"/>
          <bgColor auto="1"/>
        </patternFill>
      </fill>
      <alignment horizontal="center" vertical="center" textRotation="0" wrapText="0" indent="0" justifyLastLine="0" shrinkToFit="0" readingOrder="0"/>
      <border diagonalUp="0" diagonalDown="0">
        <left style="thin">
          <color rgb="FF808080"/>
        </left>
        <right style="thin">
          <color indexed="64"/>
        </right>
        <top style="thin">
          <color rgb="FF808080"/>
        </top>
        <bottom style="thin">
          <color rgb="FF808080"/>
        </bottom>
      </border>
    </dxf>
    <dxf>
      <font>
        <b/>
        <i val="0"/>
        <strike val="0"/>
        <condense val="0"/>
        <extend val="0"/>
        <outline val="0"/>
        <shadow val="0"/>
        <u val="none"/>
        <vertAlign val="baseline"/>
        <sz val="10"/>
        <color auto="1"/>
        <name val="Verdan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808080"/>
        </left>
        <right style="thin">
          <color rgb="FF808080"/>
        </right>
        <top style="thin">
          <color rgb="FF808080"/>
        </top>
        <bottom style="thin">
          <color rgb="FF808080"/>
        </bottom>
      </border>
    </dxf>
    <dxf>
      <font>
        <b/>
        <i val="0"/>
        <strike val="0"/>
        <condense val="0"/>
        <extend val="0"/>
        <outline val="0"/>
        <shadow val="0"/>
        <u val="none"/>
        <vertAlign val="baseline"/>
        <sz val="10"/>
        <color auto="1"/>
        <name val="Verdan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rgb="FF808080"/>
        </left>
        <right style="thin">
          <color rgb="FF808080"/>
        </right>
        <top style="thin">
          <color rgb="FF808080"/>
        </top>
        <bottom style="thin">
          <color rgb="FF808080"/>
        </bottom>
      </border>
    </dxf>
    <dxf>
      <font>
        <b val="0"/>
        <i val="0"/>
        <strike val="0"/>
        <condense val="0"/>
        <extend val="0"/>
        <outline val="0"/>
        <shadow val="0"/>
        <u val="none"/>
        <vertAlign val="baseline"/>
        <sz val="10"/>
        <color auto="1"/>
        <name val="Verdan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left style="thin">
          <color rgb="FF808080"/>
        </left>
        <right style="thin">
          <color rgb="FF808080"/>
        </right>
        <top style="thin">
          <color rgb="FF808080"/>
        </top>
        <bottom style="thin">
          <color rgb="FF808080"/>
        </bottom>
      </border>
    </dxf>
    <dxf>
      <font>
        <b val="0"/>
        <i val="0"/>
        <strike val="0"/>
        <condense val="0"/>
        <extend val="0"/>
        <outline val="0"/>
        <shadow val="0"/>
        <u val="none"/>
        <vertAlign val="baseline"/>
        <sz val="10"/>
        <color auto="1"/>
        <name val="Verdan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left style="thin">
          <color rgb="FF808080"/>
        </left>
        <right style="thin">
          <color rgb="FF808080"/>
        </right>
        <top style="thin">
          <color rgb="FF808080"/>
        </top>
        <bottom style="thin">
          <color rgb="FF808080"/>
        </bottom>
      </border>
    </dxf>
    <dxf>
      <font>
        <b val="0"/>
        <i val="0"/>
        <strike val="0"/>
        <condense val="0"/>
        <extend val="0"/>
        <outline val="0"/>
        <shadow val="0"/>
        <u val="none"/>
        <vertAlign val="baseline"/>
        <sz val="10"/>
        <color auto="1"/>
        <name val="Verdan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left style="thin">
          <color rgb="FF808080"/>
        </left>
        <right style="thin">
          <color rgb="FF808080"/>
        </right>
        <top style="thin">
          <color rgb="FF808080"/>
        </top>
        <bottom style="thin">
          <color rgb="FF808080"/>
        </bottom>
      </border>
    </dxf>
    <dxf>
      <font>
        <b val="0"/>
        <i val="0"/>
        <strike val="0"/>
        <condense val="0"/>
        <extend val="0"/>
        <outline val="0"/>
        <shadow val="0"/>
        <u val="none"/>
        <vertAlign val="baseline"/>
        <sz val="10"/>
        <color auto="1"/>
        <name val="Verdan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left style="thin">
          <color rgb="FF808080"/>
        </left>
        <right style="thin">
          <color rgb="FF808080"/>
        </right>
        <top style="thin">
          <color rgb="FF808080"/>
        </top>
        <bottom style="thin">
          <color rgb="FF808080"/>
        </bottom>
      </border>
    </dxf>
    <dxf>
      <font>
        <b val="0"/>
        <i val="0"/>
        <strike val="0"/>
        <condense val="0"/>
        <extend val="0"/>
        <outline val="0"/>
        <shadow val="0"/>
        <u val="none"/>
        <vertAlign val="baseline"/>
        <sz val="10"/>
        <color theme="1"/>
        <name val="Verdan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rgb="FF808080"/>
        </left>
        <right style="thin">
          <color rgb="FF808080"/>
        </right>
        <top style="thin">
          <color rgb="FF808080"/>
        </top>
        <bottom style="thin">
          <color rgb="FF808080"/>
        </bottom>
      </border>
    </dxf>
    <dxf>
      <font>
        <b val="0"/>
        <i val="0"/>
        <strike val="0"/>
        <condense val="0"/>
        <extend val="0"/>
        <outline val="0"/>
        <shadow val="0"/>
        <u val="none"/>
        <vertAlign val="baseline"/>
        <sz val="10"/>
        <color theme="1"/>
        <name val="Verdana"/>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rgb="FF808080"/>
        </right>
        <top style="thin">
          <color rgb="FF808080"/>
        </top>
        <bottom style="thin">
          <color rgb="FF808080"/>
        </bottom>
      </border>
    </dxf>
    <dxf>
      <border outline="0">
        <top style="thin">
          <color rgb="FF808080"/>
        </top>
      </border>
    </dxf>
    <dxf>
      <border outline="0">
        <left style="thin">
          <color rgb="FF808080"/>
        </left>
        <right style="thin">
          <color rgb="FF808080"/>
        </right>
        <top style="thin">
          <color rgb="FF808080"/>
        </top>
        <bottom style="thin">
          <color rgb="FF808080"/>
        </bottom>
      </border>
    </dxf>
    <dxf>
      <fill>
        <patternFill patternType="none">
          <fgColor indexed="64"/>
          <bgColor auto="1"/>
        </patternFill>
      </fill>
    </dxf>
    <dxf>
      <border outline="0">
        <bottom style="thin">
          <color rgb="FF808080"/>
        </bottom>
      </border>
    </dxf>
    <dxf>
      <font>
        <b/>
        <i val="0"/>
        <strike val="0"/>
        <condense val="0"/>
        <extend val="0"/>
        <outline val="0"/>
        <shadow val="0"/>
        <u val="none"/>
        <vertAlign val="baseline"/>
        <sz val="10"/>
        <color auto="1"/>
        <name val="Verdana"/>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rgb="FF808080"/>
        </left>
        <right style="thin">
          <color rgb="FF808080"/>
        </right>
        <top/>
        <bottom/>
      </border>
    </dxf>
    <dxf>
      <font>
        <b/>
        <i val="0"/>
        <color theme="1" tint="4.9989318521683403E-2"/>
      </font>
      <fill>
        <patternFill>
          <bgColor rgb="FF00B050"/>
        </patternFill>
      </fill>
    </dxf>
    <dxf>
      <font>
        <b/>
        <i val="0"/>
        <color auto="1"/>
      </font>
      <fill>
        <patternFill>
          <bgColor rgb="FFFF0000"/>
        </patternFill>
      </fill>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0"/>
        <color auto="1"/>
        <name val="Verdana"/>
        <scheme val="none"/>
      </font>
      <numFmt numFmtId="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auto="1"/>
        <name val="Verdana"/>
        <scheme val="none"/>
      </font>
      <numFmt numFmtId="3" formatCode="#,##0"/>
      <fill>
        <patternFill patternType="none">
          <fgColor indexed="64"/>
          <bgColor auto="1"/>
        </patternFill>
      </fill>
      <alignment horizontal="center" vertical="center" indent="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auto="1"/>
        <name val="Verdana"/>
        <scheme val="none"/>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165"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Verdana"/>
        <scheme val="none"/>
      </font>
      <numFmt numFmtId="165"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Verdan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Verdan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Verdana"/>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Verdan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Verdan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Verdan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Verdan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auto="1"/>
        <name val="Verdana"/>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Verdana"/>
        <scheme val="none"/>
      </font>
      <fill>
        <patternFill patternType="none">
          <fgColor indexed="64"/>
          <bgColor auto="1"/>
        </patternFill>
      </fill>
      <alignment horizontal="center" vertical="center" indent="0"/>
    </dxf>
    <dxf>
      <border>
        <bottom style="thin">
          <color indexed="64"/>
        </bottom>
      </border>
    </dxf>
    <dxf>
      <font>
        <b/>
        <i val="0"/>
        <strike val="0"/>
        <condense val="0"/>
        <extend val="0"/>
        <outline val="0"/>
        <shadow val="0"/>
        <u val="none"/>
        <vertAlign val="baseline"/>
        <sz val="10"/>
        <color auto="1"/>
        <name val="Verdana"/>
        <scheme val="none"/>
      </font>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Verdana"/>
        <scheme val="none"/>
      </font>
      <numFmt numFmtId="165" formatCode="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rgb="FFFF0000"/>
        <name val="Verdana"/>
        <scheme val="none"/>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13" formatCode="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FF0000"/>
        <name val="Verdana"/>
        <scheme val="none"/>
      </font>
      <numFmt numFmtId="0" formatCode="General"/>
      <fill>
        <patternFill patternType="solid">
          <fgColor indexed="64"/>
          <bgColor theme="0" tint="-4.9989318521683403E-2"/>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Verdana"/>
        <scheme val="none"/>
      </font>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fill>
        <patternFill patternType="solid">
          <fgColor indexed="64"/>
          <bgColor theme="0"/>
        </patternFill>
      </fill>
      <alignment horizontal="center" vertical="center" textRotation="0" wrapText="0" indent="0" justifyLastLine="0" shrinkToFit="0" readingOrder="0"/>
    </dxf>
    <dxf>
      <font>
        <sz val="10"/>
        <name val="Verdana"/>
      </font>
      <fill>
        <patternFill patternType="solid">
          <fgColor indexed="64"/>
          <bgColor rgb="FFFFF2CC"/>
        </patternFill>
      </fill>
      <alignment horizontal="center" vertical="center" indent="0"/>
    </dxf>
  </dxfs>
  <tableStyles count="0" defaultTableStyle="TableStyleMedium2" defaultPivotStyle="PivotStyleLight16"/>
  <colors>
    <mruColors>
      <color rgb="FFFFCC99"/>
      <color rgb="FFFFFFCC"/>
      <color rgb="FFFF99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powerPivotData" Target="model/item.data"/><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47" Type="http://schemas.openxmlformats.org/officeDocument/2006/relationships/customXml" Target="../customXml/item27.xml"/><Relationship Id="rId50" Type="http://schemas.openxmlformats.org/officeDocument/2006/relationships/customXml" Target="../customXml/item30.xml"/><Relationship Id="rId55" Type="http://schemas.openxmlformats.org/officeDocument/2006/relationships/customXml" Target="../customXml/item3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sharedStrings" Target="sharedStrings.xml"/><Relationship Id="rId29" Type="http://schemas.openxmlformats.org/officeDocument/2006/relationships/customXml" Target="../customXml/item9.xml"/><Relationship Id="rId11" Type="http://schemas.openxmlformats.org/officeDocument/2006/relationships/externalLink" Target="externalLinks/externalLink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45" Type="http://schemas.openxmlformats.org/officeDocument/2006/relationships/customXml" Target="../customXml/item25.xml"/><Relationship Id="rId53" Type="http://schemas.openxmlformats.org/officeDocument/2006/relationships/customXml" Target="../customXml/item33.xml"/><Relationship Id="rId5" Type="http://schemas.openxmlformats.org/officeDocument/2006/relationships/worksheet" Target="worksheets/sheet5.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43" Type="http://schemas.openxmlformats.org/officeDocument/2006/relationships/customXml" Target="../customXml/item23.xml"/><Relationship Id="rId48" Type="http://schemas.openxmlformats.org/officeDocument/2006/relationships/customXml" Target="../customXml/item28.xml"/><Relationship Id="rId56" Type="http://schemas.openxmlformats.org/officeDocument/2006/relationships/customXml" Target="../customXml/item36.xml"/><Relationship Id="rId8" Type="http://schemas.openxmlformats.org/officeDocument/2006/relationships/worksheet" Target="worksheets/sheet8.xml"/><Relationship Id="rId51" Type="http://schemas.openxmlformats.org/officeDocument/2006/relationships/customXml" Target="../customXml/item3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sheetMetadata" Target="metadata.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 Id="rId46" Type="http://schemas.openxmlformats.org/officeDocument/2006/relationships/customXml" Target="../customXml/item26.xml"/><Relationship Id="rId20" Type="http://schemas.openxmlformats.org/officeDocument/2006/relationships/calcChain" Target="calcChain.xml"/><Relationship Id="rId41" Type="http://schemas.openxmlformats.org/officeDocument/2006/relationships/customXml" Target="../customXml/item21.xml"/><Relationship Id="rId54" Type="http://schemas.openxmlformats.org/officeDocument/2006/relationships/customXml" Target="../customXml/item3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styles" Target="styles.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49" Type="http://schemas.openxmlformats.org/officeDocument/2006/relationships/customXml" Target="../customXml/item29.xml"/><Relationship Id="rId57" Type="http://schemas.openxmlformats.org/officeDocument/2006/relationships/customXml" Target="../customXml/item37.xml"/><Relationship Id="rId10" Type="http://schemas.openxmlformats.org/officeDocument/2006/relationships/worksheet" Target="worksheets/sheet10.xml"/><Relationship Id="rId31" Type="http://schemas.openxmlformats.org/officeDocument/2006/relationships/customXml" Target="../customXml/item11.xml"/><Relationship Id="rId44" Type="http://schemas.openxmlformats.org/officeDocument/2006/relationships/customXml" Target="../customXml/item24.xml"/><Relationship Id="rId52" Type="http://schemas.openxmlformats.org/officeDocument/2006/relationships/customXml" Target="../customXml/item3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roposta_Rateio_CFURH_09NOV%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ecursos%20H&#237;dricos\DGRH\RELAT_SIT_UGRHIs\RS_anobase2012\AVALIA&#199;&#195;O\Avaliacao_RS_ab2012_PADRAO_usoDGRH_0701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_Rateio_CFURH_09NOV "/>
    </sheetNames>
    <definedNames>
      <definedName name="Dim_Colegiado"/>
      <definedName name="DIM_SUBPDC"/>
      <definedName name="empreend_Fehidro"/>
    </defined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liacao"/>
      <sheetName val="Operacional"/>
      <sheetName val="graf"/>
      <sheetName val="explicativo"/>
    </sheetNames>
    <sheetDataSet>
      <sheetData sheetId="0" refreshError="1"/>
      <sheetData sheetId="1"/>
      <sheetData sheetId="2">
        <row r="4">
          <cell r="B4" t="str">
            <v>01-SM</v>
          </cell>
        </row>
      </sheetData>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Ricardo" id="{EAA342D2-1307-4134-93E4-A11F9F812C15}" userId="4bbc7d739513d0ca" providerId="Windows Live"/>
  <person displayName="Bruno Franco de Souza" id="{B1B02395-AB85-4184-9496-6A7D27540F74}" userId="Bruno Franco de Souza" providerId="None"/>
  <person displayName="Iara Bueno Giacomini (SIMA_SP)" id="{E1A0501F-3016-4CD5-8D5F-16B778CABCA2}" userId="S::iarabg@sp.gov.br::e530dd3b-0001-4c92-ace9-2068355ef680" providerId="AD"/>
  <person displayName="Ricardo Luiz Mangabeira" id="{44D4FC70-03EF-4F28-9BFA-9214CFD159FE}" userId="S::rmangabeira@sp.gov.br::bc5ed510-0740-40a2-bc50-7041057b7ed6"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dosExternos_1" connectionId="2" xr16:uid="{82C67204-1214-459B-873A-FFC0522F1531}" autoFormatId="16" applyNumberFormats="0" applyBorderFormats="0" applyFontFormats="0" applyPatternFormats="0" applyAlignmentFormats="0" applyWidthHeightFormats="0">
  <queryTableRefresh nextId="6">
    <queryTableFields count="5">
      <queryTableField id="1" name="ugrhi" tableColumnId="1"/>
      <queryTableField id="2" name="PDC" tableColumnId="2"/>
      <queryTableField id="3" name="PrioridadePDC_" tableColumnId="3"/>
      <queryTableField id="4" name="Soma2020" tableColumnId="4"/>
      <queryTableField id="5" name="Soma2020-23" tableColumnId="5"/>
    </queryTableFields>
  </queryTableRefresh>
</queryTable>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ela5" displayName="Tabela5" ref="A1:I22" totalsRowShown="0" headerRowDxfId="84" dataDxfId="83">
  <autoFilter ref="A1:I22" xr:uid="{00000000-0009-0000-0100-000005000000}"/>
  <sortState xmlns:xlrd2="http://schemas.microsoft.com/office/spreadsheetml/2017/richdata2" ref="A2:I22">
    <sortCondition ref="A1:A22"/>
  </sortState>
  <tableColumns count="9">
    <tableColumn id="1" xr3:uid="{00000000-0010-0000-0000-000001000000}" name="UGRHi" dataDxfId="82"/>
    <tableColumn id="2" xr3:uid="{00000000-0010-0000-0000-000002000000}" name="Indicador 1_x000a_Utilização de Recursos FEHIDRO_x000a_(Pontuação)" dataDxfId="81">
      <calculatedColumnFormula>SUM($C2,$G2)</calculatedColumnFormula>
    </tableColumn>
    <tableColumn id="11" xr3:uid="{00000000-0010-0000-0000-00000B000000}" name="Parâmetro 1.1_x000a_% Devolução de empreendimentos FEHIDRO no ano anterior" dataDxfId="80">
      <calculatedColumnFormula array="1">_xlfn.IFS(F2=$L$2,M$2,F2&lt;=$L$3,M$3,F2&lt;=$L$4,M$4,F2&lt;=$L$5,M$5,F2&gt;$L$6,$M$6)</calculatedColumnFormula>
    </tableColumn>
    <tableColumn id="7" xr3:uid="{00000000-0010-0000-0000-000007000000}" name="nº total empreendimentos indicados pelo CBH no ano anterior" dataDxfId="79">
      <calculatedColumnFormula>COUNTIFS('empreend 2019_2020'!$A:$A,Tabela5[[#This Row],[UGRHi]],'empreend 2019_2020'!B:B,2020)</calculatedColumnFormula>
    </tableColumn>
    <tableColumn id="19" xr3:uid="{00000000-0010-0000-0000-000013000000}" name="nº total empreendimentos devolvidos pela CRHI no ano anterior" dataDxfId="78">
      <calculatedColumnFormula>COUNTIFS('empreend 2019_2020'!G:G,"Sim",'empreend 2019_2020'!A:A,Tabela5[[#This Row],[UGRHi]],'empreend 2019_2020'!B:B,2020)</calculatedColumnFormula>
    </tableColumn>
    <tableColumn id="18" xr3:uid="{00000000-0010-0000-0000-000012000000}" name="% de devoluções " dataDxfId="77">
      <calculatedColumnFormula>Tabela5[[#This Row],[nº total empreendimentos devolvidos pela CRHI no ano anterior]]/Tabela5[[#This Row],[nº total empreendimentos indicados pelo CBH no ano anterior]]</calculatedColumnFormula>
    </tableColumn>
    <tableColumn id="6" xr3:uid="{00000000-0010-0000-0000-000006000000}" name="Parâmetro 1.2_x000a_Eficiência de Utilização do R$" dataDxfId="76">
      <calculatedColumnFormula array="1" xml:space="preserve"> _xlfn.IFS(Tabela5[[#This Row],[% eficiência da utilização]]&lt;=$Q$2,$R$2, Tabela5[[#This Row],[% eficiência da utilização]]&lt;=$Q$3,$R$3,Tabela5[[#This Row],[% eficiência da utilização]]&lt;=$Q$4,$R$4,Tabela5[[#This Row],[% eficiência da utilização]]&lt;=$Q$5,$R$5, Tabela5[[#This Row],[% eficiência da utilização]]&gt;$Q$6,$R$6)</calculatedColumnFormula>
    </tableColumn>
    <tableColumn id="13" xr3:uid="{00000000-0010-0000-0000-00000D000000}" name="R$ disponível " dataDxfId="75"/>
    <tableColumn id="17" xr3:uid="{00000000-0010-0000-0000-000011000000}" name="% eficiência da utilização" dataDxfId="74">
      <calculatedColumnFormula>(SUMIFS('empreend 2019_2020'!$F:$F,'empreend 2019_2020'!$B:$B, 2020,'empreend 2019_2020'!$A:$A,Tabela5[[#This Row],[UGRHi]],'empreend 2019_2020'!$G:$G, "não") / Tabela5[[#This Row],[R$ disponível ]])</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Gestao" displayName="Gestao" ref="A1:L22" totalsRowShown="0" headerRowDxfId="73" dataDxfId="71" headerRowBorderDxfId="72" tableBorderDxfId="70" totalsRowBorderDxfId="69">
  <autoFilter ref="A1:L22" xr:uid="{00000000-0009-0000-0100-000001000000}"/>
  <tableColumns count="12">
    <tableColumn id="1" xr3:uid="{00000000-0010-0000-0100-000001000000}" name="UGRHI" dataDxfId="68" totalsRowDxfId="67"/>
    <tableColumn id="2" xr3:uid="{00000000-0010-0000-0100-000002000000}" name="Indicador 3_x000a_Gestão_x000a_(Pontuação)" dataDxfId="66" totalsRowDxfId="65">
      <calculatedColumnFormula>(SUM(C2,E2))</calculatedColumnFormula>
    </tableColumn>
    <tableColumn id="11" xr3:uid="{00000000-0010-0000-0100-00000B000000}" name="Parâmetro 3.1_x000a_Relatório de situação - Pontuação" dataDxfId="64" totalsRowDxfId="63">
      <calculatedColumnFormula array="1">_xlfn.IFS(D2&lt;=O$2,P$2,D2&lt;=O$3,P$3,D2&lt;=O$4,P$4,D2&gt;O$5,P$5)</calculatedColumnFormula>
    </tableColumn>
    <tableColumn id="4" xr3:uid="{00000000-0010-0000-0100-000004000000}" name="Relatório de situação - avaliação DPG" dataDxfId="62" totalsRowDxfId="61"/>
    <tableColumn id="8" xr3:uid="{00000000-0010-0000-0100-000008000000}" name=" Parâmetro 3.2_x000a_Desvio do planejamento nos PDCs prioritários_x000a_- Pontuação " dataDxfId="60" totalsRowDxfId="59">
      <calculatedColumnFormula array="1">_xlfn.IFS(Gestao[[#This Row],[Desvio do planejamento dos PDCs prioritáros (Planej. - Indic.)
(%)]]&lt;=$S$2,$T$2,Gestao[[#This Row],[Desvio do planejamento dos PDCs prioritáros (Planej. - Indic.)
(%)]]&gt;$S$3,$T$3)</calculatedColumnFormula>
    </tableColumn>
    <tableColumn id="5" xr3:uid="{00000000-0010-0000-0100-000005000000}" name="Desvio do planejamento dos PDCs prioritáros (Planej. - Indic.)_x000a_(%)" dataDxfId="58" totalsRowDxfId="57">
      <calculatedColumnFormula>Gestao[[#This Row],[Planejamento (%)]]-Gestao[[#This Row],[Indicações  (%)]]</calculatedColumnFormula>
    </tableColumn>
    <tableColumn id="14" xr3:uid="{00000000-0010-0000-0100-00000E000000}" name="Planejamento PA/PI 2020 - (R$) " dataDxfId="56" totalsRowDxfId="55">
      <calculatedColumnFormula>SUMIFS(PAPI!D:D,PAPI!A:A,Gestao[[#This Row],[UGRHI]])</calculatedColumnFormula>
    </tableColumn>
    <tableColumn id="6" xr3:uid="{00000000-0010-0000-0100-000006000000}" name="Planejamento PA/PI 2020  nos PDCs prioritários_x000a_(R$)" dataDxfId="54" totalsRowDxfId="53">
      <calculatedColumnFormula>SUMIFS(PAPI!D:D,PAPI!A:A,Gestao[[#This Row],[UGRHI]],PAPI!C:C,"Prioritário")</calculatedColumnFormula>
    </tableColumn>
    <tableColumn id="17" xr3:uid="{00000000-0010-0000-0100-000011000000}" name="Planejamento (%)" dataDxfId="52" totalsRowDxfId="51">
      <calculatedColumnFormula>Gestao[[#This Row],[Planejamento PA/PI 2020  nos PDCs prioritários
(R$)]]/Gestao[[#This Row],[Planejamento PA/PI 2020 - (R$) ]]</calculatedColumnFormula>
    </tableColumn>
    <tableColumn id="7" xr3:uid="{00000000-0010-0000-0100-000007000000}" name="Indicações 2020_x000a_  nos PDC prioritários (R$)_x000a_" dataDxfId="50" totalsRowDxfId="49">
      <calculatedColumnFormula>SUMIFS('empreend 2019_2020'!F:F,'empreend 2019_2020'!K:K,"Prioritário",'empreend 2019_2020'!A:A,Gestao[[#This Row],[UGRHI]],'empreend 2019_2020'!B:B,2020)</calculatedColumnFormula>
    </tableColumn>
    <tableColumn id="9" xr3:uid="{00000000-0010-0000-0100-000009000000}" name="Total disponivel (CFURH+ Cob) nos Planos de aplicação - 2020 (R$)" dataDxfId="48" totalsRowDxfId="47">
      <calculatedColumnFormula>SUMIF('Info- DOF - cfurh_cob - '!$J$113:$J$133,Gestao[[#This Row],[UGRHI]],'Info- DOF - cfurh_cob - '!$K$113:$K$133)</calculatedColumnFormula>
    </tableColumn>
    <tableColumn id="13" xr3:uid="{00000000-0010-0000-0100-00000D000000}" name="Indicações  (%)" dataDxfId="46" totalsRowDxfId="45">
      <calculatedColumnFormula>Gestao[[#This Row],[Indicações 2020
  nos PDC prioritários (R$)
]]/Gestao[[#This Row],[Total disponivel (CFURH+ Cob) nos Planos de aplicação - 2020 (R$)]]</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ela6" displayName="Tabela6" ref="A1:I22" totalsRowShown="0" headerRowDxfId="42" dataDxfId="40" headerRowBorderDxfId="41" tableBorderDxfId="39" totalsRowBorderDxfId="38" headerRowCellStyle="Normal 3">
  <autoFilter ref="A1:I22" xr:uid="{00000000-0009-0000-0100-000006000000}"/>
  <tableColumns count="9">
    <tableColumn id="1" xr3:uid="{00000000-0010-0000-0200-000001000000}" name="UGRHI" dataDxfId="37"/>
    <tableColumn id="2" xr3:uid="{00000000-0010-0000-0200-000002000000}" name="Faixa de arrecadação da Cobrança" dataDxfId="36">
      <calculatedColumnFormula>VLOOKUP(A2,'Potencial Arrecadação Cobrança'!$J$2:$L$22,3,FALSE)</calculatedColumnFormula>
    </tableColumn>
    <tableColumn id="3" xr3:uid="{00000000-0010-0000-0200-000003000000}" name="Indicador_x000a_Gestão_x000a_(0 a 10)_x000a_25%" dataDxfId="35">
      <calculatedColumnFormula>VLOOKUP(Tabela6[[#This Row],[UGRHI]],Gestao[[UGRHI]:[Indicador 3
Gestão
(Pontuação)]],2,FALSE)</calculatedColumnFormula>
    </tableColumn>
    <tableColumn id="4" xr3:uid="{00000000-0010-0000-0200-000004000000}" name="Indicador_x000a_Capacitação_x000a_(0 a 5)_x000a_12,5%" dataDxfId="34">
      <calculatedColumnFormula>VLOOKUP(Tabela6[[#This Row],[UGRHI]],Capacitação!$A$2:$B$22,2,FALSE)</calculatedColumnFormula>
    </tableColumn>
    <tableColumn id="5" xr3:uid="{00000000-0010-0000-0200-000005000000}" name="Indicador _x000a_Transparência_x000a_(0 ou 5)_x000a_12,5%" dataDxfId="33">
      <calculatedColumnFormula>VLOOKUP(Tabela6[[#This Row],[UGRHI]],'Transparência SIGRH'!$A$2:$B$22, 2, FALSE)</calculatedColumnFormula>
    </tableColumn>
    <tableColumn id="6" xr3:uid="{00000000-0010-0000-0200-000006000000}" name="Indicador_x000a_Utilização R$ FEHIDRO_x000a_(0 a 20)_x000a_50%" dataDxfId="32">
      <calculatedColumnFormula>VLOOKUP(Tabela6[[#This Row],[UGRHI]],Tabela5[[UGRHi]:[Indicador 1
Utilização de Recursos FEHIDRO
(Pontuação)]],2,FALSE)</calculatedColumnFormula>
    </tableColumn>
    <tableColumn id="7" xr3:uid="{00000000-0010-0000-0200-000007000000}" name="Pontuação final" dataDxfId="31">
      <calculatedColumnFormula>(SUM(C2:F2))</calculatedColumnFormula>
    </tableColumn>
    <tableColumn id="8" xr3:uid="{00000000-0010-0000-0200-000008000000}" name="% da pontuação na respectiva faixa" dataDxfId="30">
      <calculatedColumnFormula>G2/
SUMIF($B$2:$B$22,B2,$G$2:$G$22)</calculatedColumnFormula>
    </tableColumn>
    <tableColumn id="9" xr3:uid="{00000000-0010-0000-0200-000009000000}" name="Valor final(R$)" dataDxfId="29">
      <calculatedColumnFormula>$H2* ( INDEX('Potencial Arrecadação Cobrança'!$E$2:$E$6, MATCH(Rateio!B2,'Potencial Arrecadação Cobrança'!$C$2:$C$6,0)))</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empreend_Fehidro" displayName="empreend_Fehidro" ref="A1:L702" totalsRowShown="0" headerRowDxfId="28" dataDxfId="27">
  <autoFilter ref="A1:L702" xr:uid="{00000000-0009-0000-0100-000003000000}"/>
  <sortState xmlns:xlrd2="http://schemas.microsoft.com/office/spreadsheetml/2017/richdata2" ref="A2:L702">
    <sortCondition descending="1" ref="B1:B702"/>
  </sortState>
  <tableColumns count="12">
    <tableColumn id="1" xr3:uid="{00000000-0010-0000-0300-000001000000}" name="UGRHI" dataDxfId="26">
      <calculatedColumnFormula>VLOOKUP(E2,Dim_Colegiado[],2,FALSE)</calculatedColumnFormula>
    </tableColumn>
    <tableColumn id="2" xr3:uid="{00000000-0010-0000-0300-000002000000}" name="Ano " dataDxfId="25">
      <calculatedColumnFormula>LEFT(C2,4)</calculatedColumnFormula>
    </tableColumn>
    <tableColumn id="3" xr3:uid="{00000000-0010-0000-0300-000003000000}" name="Código de _x000a_empreendimento" dataDxfId="24" dataCellStyle="Hyperlink"/>
    <tableColumn id="4" xr3:uid="{00000000-0010-0000-0300-000004000000}" name="Situação do _x000a_empreendimento" dataDxfId="23"/>
    <tableColumn id="5" xr3:uid="{00000000-0010-0000-0300-000005000000}" name="Colegiado" dataDxfId="22"/>
    <tableColumn id="6" xr3:uid="{00000000-0010-0000-0300-000006000000}" name="Valor pleiteado" dataDxfId="21"/>
    <tableColumn id="10" xr3:uid="{00000000-0010-0000-0300-00000A000000}" name="Devolvido?" dataDxfId="20"/>
    <tableColumn id="7" xr3:uid="{00000000-0010-0000-0300-000007000000}" name="Razão para devolução" dataDxfId="19"/>
    <tableColumn id="8" xr3:uid="{00000000-0010-0000-0300-000008000000}" name="suBpdc classifc" dataDxfId="18"/>
    <tableColumn id="12" xr3:uid="{00000000-0010-0000-0300-00000C000000}" name="PDC class" dataDxfId="17">
      <calculatedColumnFormula>LEFT(empreend_Fehidro[[#This Row],[suBpdc classifc]],1)</calculatedColumnFormula>
    </tableColumn>
    <tableColumn id="13" xr3:uid="{00000000-0010-0000-0300-00000D000000}" name="Prioridade do PDC no PAPI" dataDxfId="16"/>
    <tableColumn id="11" xr3:uid="{00000000-0010-0000-0300-00000B000000}" name="Estrutural?_x000a_" dataDxfId="1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9AEF4AE-EC44-4AE5-B388-3D9191BFD088}" name="Prioridades_PA_PI_ugrhis_PDC____fehidro" displayName="Prioridades_PA_PI_ugrhis_PDC____fehidro" ref="A1:E136" tableType="queryTable" totalsRowShown="0">
  <autoFilter ref="A1:E136" xr:uid="{10AD9039-BD58-4FE3-BDC6-EF0AD25BF4CD}"/>
  <tableColumns count="5">
    <tableColumn id="1" xr3:uid="{2506C05D-611F-45C8-B19E-FF6DB81B6D0B}" uniqueName="1" name="ugrhi" queryTableFieldId="1"/>
    <tableColumn id="2" xr3:uid="{791C27B3-30FD-4925-AFB6-BA60B3F0A1D4}" uniqueName="2" name="PDC" queryTableFieldId="2"/>
    <tableColumn id="3" xr3:uid="{6D35A49F-B93C-48FB-B27A-BC97E7C59624}" uniqueName="3" name="PrioridadePDC_" queryTableFieldId="3" dataDxfId="0"/>
    <tableColumn id="4" xr3:uid="{638A7E66-F90C-4E12-8344-2B2F54B7FC6E}" uniqueName="4" name="Soma2020" queryTableFieldId="4"/>
    <tableColumn id="5" xr3:uid="{5197DEB0-F85F-4204-94AE-0F191B235E64}" uniqueName="5" name="Soma2020-23" queryTableFieldId="5"/>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Dim_Colegiado" displayName="Dim_Colegiado" ref="D1:F22" totalsRowShown="0" headerRowDxfId="14">
  <autoFilter ref="D1:F22" xr:uid="{00000000-0009-0000-0100-000002000000}"/>
  <sortState xmlns:xlrd2="http://schemas.microsoft.com/office/spreadsheetml/2017/richdata2" ref="D2:F22">
    <sortCondition ref="E1:E22"/>
  </sortState>
  <tableColumns count="3">
    <tableColumn id="1" xr3:uid="{00000000-0010-0000-0500-000001000000}" name="Colegiado"/>
    <tableColumn id="2" xr3:uid="{00000000-0010-0000-0500-000002000000}" name="UGRHI"/>
    <tableColumn id="3" xr3:uid="{00000000-0010-0000-0500-000003000000}" name="UGRHI comp" dataDxfId="1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DIM_SUBPDC" displayName="DIM_SUBPDC" ref="K1:Q33" totalsRowShown="0" headerRowDxfId="12" dataDxfId="10" headerRowBorderDxfId="11" tableBorderDxfId="9" totalsRowBorderDxfId="8">
  <autoFilter ref="K1:Q33" xr:uid="{00000000-0009-0000-0100-00000F000000}"/>
  <tableColumns count="7">
    <tableColumn id="1" xr3:uid="{00000000-0010-0000-0600-000001000000}" name="PDC" dataDxfId="7"/>
    <tableColumn id="8" xr3:uid="{00000000-0010-0000-0600-000008000000}" name="pdc cod" dataDxfId="6">
      <calculatedColumnFormula>LEFT(DIM_SUBPDC[[#This Row],[subpdc cod]],1)</calculatedColumnFormula>
    </tableColumn>
    <tableColumn id="2" xr3:uid="{00000000-0010-0000-0600-000002000000}" name="Sub PDC" dataDxfId="5"/>
    <tableColumn id="5" xr3:uid="{00000000-0010-0000-0600-000005000000}" name="subpdc cod" dataDxfId="4">
      <calculatedColumnFormula>LEFT(DIM_SUBPDC[[#This Row],[Sub PDC]],3)</calculatedColumnFormula>
    </tableColumn>
    <tableColumn id="7" xr3:uid="{00000000-0010-0000-0600-000007000000}" name="subpdc cod2" dataDxfId="3"/>
    <tableColumn id="3" xr3:uid="{00000000-0010-0000-0600-000003000000}" name="Sub PDC nome completo" dataDxfId="2"/>
    <tableColumn id="4" xr3:uid="{00000000-0010-0000-0600-000004000000}" name="Abrangência do Sub PDC" dataDxfId="1"/>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 dT="2020-11-18T19:51:04.53" personId="{E1A0501F-3016-4CD5-8D5F-16B778CABCA2}" id="{3A213039-EBEC-490F-9F99-6C01FA326323}">
    <text xml:space="preserve">O objetivo desta metodologia é buscar o princípio da proporcionalidade, assim sendo, os percentuais de distribuição foram calculados de forma que mesmo se o valor da CFURH fosse dividido equitativamente para os colegiados dentro das respectivas faixas, ainda assim os colegiados com menor arrecadação da cobrança receberiam maiores valores da CFURH. Para aferir esses percentuais, foi utilizado o valor da LOA/CFURH 2020, estimado em R$ 19.747.000. Como pode ser observado na tabela abaixo, os colegiados da faixa 1 receberiam 5,9% dos recursos da CFURH, enquanto os colegiados da faixa 2 receberiam 5,1%, os da faixa 3 receberiam 4,2%, os da faixa 4, 3,3% e o da faixa 5, 2,5%. 
</text>
  </threadedComment>
  <threadedComment ref="K1" dT="2020-10-15T23:32:34.74" personId="{44D4FC70-03EF-4F28-9BFA-9214CFD159FE}" id="{07A9CD21-1D78-46FC-84E7-38BCF2A2DB55}">
    <text>DOF</text>
  </threadedComment>
</ThreadedComments>
</file>

<file path=xl/threadedComments/threadedComment2.xml><?xml version="1.0" encoding="utf-8"?>
<ThreadedComments xmlns="http://schemas.microsoft.com/office/spreadsheetml/2018/threadedcomments" xmlns:x="http://schemas.openxmlformats.org/spreadsheetml/2006/main">
  <threadedComment ref="H1" dT="2020-10-23T20:33:29.16" personId="{44D4FC70-03EF-4F28-9BFA-9214CFD159FE}" id="{E5FABFB9-639F-4357-9315-7F2A283C5AB1}">
    <text>Informações do 1º pleito FEHIDRO disponibilizadas aos CBHs em 23/09</text>
  </threadedComment>
  <threadedComment ref="I1" dT="2020-10-28T15:11:40.88" personId="{B1B02395-AB85-4184-9496-6A7D27540F74}" id="{4CC8771C-A9E9-4084-8CD8-B3644670045B}">
    <text>Inclui retornos financeiros  no mesmo ano. Justifica, portanto, o caso do LN (&gt;100%)</text>
  </threadedComment>
</ThreadedComments>
</file>

<file path=xl/threadedComments/threadedComment3.xml><?xml version="1.0" encoding="utf-8"?>
<ThreadedComments xmlns="http://schemas.microsoft.com/office/spreadsheetml/2018/threadedcomments" xmlns:x="http://schemas.openxmlformats.org/spreadsheetml/2006/main">
  <threadedComment ref="J1" dT="2020-10-27T20:38:34.03" personId="{B1B02395-AB85-4184-9496-6A7D27540F74}" id="{967BB559-7046-4750-9A1E-A72EA61259A6}">
    <text>Fonte: Empreendimentos Sinfehidro 2019-2020</text>
  </threadedComment>
  <threadedComment ref="L1" dT="2020-11-09T19:36:30.15" personId="{44D4FC70-03EF-4F28-9BFA-9214CFD159FE}" id="{7236F994-A5F6-450A-93F3-EE87C0D88FEC}">
    <text>Divisão entre Indicações nos PDCs prioritário e Indicações Totais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20-10-16T17:51:25.48" personId="{EAA342D2-1307-4134-93E4-A11F9F812C15}" id="{885F9B34-0114-4D49-9D12-6B3C87144244}">
    <text>contendo informações atualizadas do Estatuto, representantes dos CBHs, composição das CTs, Atas de Reuniões,Agenda,Apresentação,Deliberações, PBHs e Relatórios de Situação.  Avaliação a partir de 2021</text>
  </threadedComment>
  <threadedComment ref="D1" dT="2020-10-28T18:38:21.24" personId="{B1B02395-AB85-4184-9496-6A7D27540F74}" id="{A4490B9F-7DAF-4F7B-BD37-326393C2EA64}">
    <text>Estatudo do CBH e suas eventuais alterações, acompanhado das deliberações respectivas.</text>
  </threadedComment>
  <threadedComment ref="E1" dT="2020-10-28T18:39:03.59" personId="{B1B02395-AB85-4184-9496-6A7D27540F74}" id="{97B79040-2D2F-455F-954E-0F88162648BC}">
    <text>Atas das reuniões realizadas no ano.</text>
  </threadedComment>
  <threadedComment ref="F1" dT="2020-10-28T18:40:36.89" personId="{B1B02395-AB85-4184-9496-6A7D27540F74}" id="{42F277BF-BCF1-4B9D-A5C3-96946C86E826}">
    <text>Informações vigentes acompanhadas de respectivas deliberações.
Conteúdo mínimo: Nome, entidade e e-mail.</text>
  </threadedComment>
  <threadedComment ref="G1" dT="2020-10-28T18:42:43.95" personId="{B1B02395-AB85-4184-9496-6A7D27540F74}" id="{EA6DFE3B-8236-47F9-86BC-AA94AF71C5F1}">
    <text>Informações vigentes acompanhadas de respectivas deliberações.
Conteúdo mínimo: Nome, entidade e e-mail.</text>
  </threadedComment>
  <threadedComment ref="H1" dT="2020-10-28T18:43:26.92" personId="{B1B02395-AB85-4184-9496-6A7D27540F74}" id="{B7250BAA-932D-4335-A489-4FFB45F81125}">
    <text>Agenda do CBH atualizada com as reuniões e eventos do colegiado.</text>
  </threadedComment>
  <threadedComment ref="I1" dT="2020-10-28T18:44:07.77" personId="{B1B02395-AB85-4184-9496-6A7D27540F74}" id="{68F3E741-C2E4-4F97-A09F-DC8582083D70}">
    <text>Caracterização geral da UGRHI atualizada</text>
  </threadedComment>
  <threadedComment ref="J1" dT="2020-10-28T18:44:44.02" personId="{B1B02395-AB85-4184-9496-6A7D27540F74}" id="{BCB471CE-8CD9-4AE4-8B7E-5472AE84C454}">
    <text>Deliberações do CBH referendadas ou não relativas ao ano anterior à apuração do rateio.</text>
  </threadedComment>
  <threadedComment ref="K1" dT="2020-10-28T18:45:45.20" personId="{B1B02395-AB85-4184-9496-6A7D27540F74}" id="{1C6A2C54-8591-4586-A47A-1F1375C1F0F5}">
    <text>Plano de Bacias vigente com a respectiva deliberação</text>
  </threadedComment>
  <threadedComment ref="L1" dT="2020-10-28T18:46:18.78" personId="{B1B02395-AB85-4184-9496-6A7D27540F74}" id="{5BF1BE50-FD39-4180-BB93-9A5AB7A6F16D}">
    <text>PA/PI vigente com a respectiva deliberação</text>
  </threadedComment>
  <threadedComment ref="M1" dT="2020-10-28T18:46:43.56" personId="{B1B02395-AB85-4184-9496-6A7D27540F74}" id="{B5C2FFCA-39CC-4DF9-87A5-F9AB29D9B6F6}">
    <text>Relatório de situação vigente com a respectiva deliberação</text>
  </threadedComment>
  <threadedComment ref="N1" dT="2020-10-28T18:49:12.98" personId="{B1B02395-AB85-4184-9496-6A7D27540F74}" id="{F67107DB-4B1A-4F8B-A163-54DE4A232592}">
    <text>Receita anual prevista advinda das fontes Cobrança pelo uso da água</text>
  </threadedComment>
  <threadedComment ref="P1" dT="2020-10-28T18:51:04.18" personId="{B1B02395-AB85-4184-9496-6A7D27540F74}" id="{C2158F09-9CDC-43D9-BAEA-1C907BB96B12}">
    <text>Informações a respeito da inadimplência da cobrança pelo uso da água.</text>
  </threadedComment>
</ThreadedComments>
</file>

<file path=xl/threadedComments/threadedComment5.xml><?xml version="1.0" encoding="utf-8"?>
<ThreadedComments xmlns="http://schemas.microsoft.com/office/spreadsheetml/2018/threadedcomments" xmlns:x="http://schemas.openxmlformats.org/spreadsheetml/2006/main">
  <threadedComment ref="C1" dT="2020-10-28T12:24:42.16" personId="{B1B02395-AB85-4184-9496-6A7D27540F74}" id="{38330B8C-4105-4BFD-B4E2-6398FF9914E6}">
    <text>25% da pontuação total</text>
  </threadedComment>
  <threadedComment ref="D1" dT="2020-10-28T12:24:58.47" personId="{B1B02395-AB85-4184-9496-6A7D27540F74}" id="{4DE6EBC8-5D6B-4ED0-9811-AD14FF9FBE4B}">
    <text>12,5% da pontuação total</text>
  </threadedComment>
  <threadedComment ref="E1" dT="2020-10-28T12:25:04.05" personId="{B1B02395-AB85-4184-9496-6A7D27540F74}" id="{0D8585D9-5D53-4792-AE33-30A012D4631B}">
    <text>12,5% da pontuação total</text>
  </threadedComment>
  <threadedComment ref="F1" dT="2020-10-28T12:24:31.42" personId="{B1B02395-AB85-4184-9496-6A7D27540F74}" id="{E9FF64C4-A35F-4179-A00C-687F2B1FEF4C}">
    <text>50% da pontuação total</text>
  </threadedComment>
  <threadedComment ref="I1" dT="2020-10-28T11:55:39.43" personId="{E1A0501F-3016-4CD5-8D5F-16B778CABCA2}" id="{34C307C4-F5C3-4387-A2D4-3800B4CAE08E}">
    <text>Valor cheio da LOA: R$ 26.810.000,00</text>
  </threadedComment>
</ThreadedComments>
</file>

<file path=xl/threadedComments/threadedComment6.xml><?xml version="1.0" encoding="utf-8"?>
<ThreadedComments xmlns="http://schemas.microsoft.com/office/spreadsheetml/2018/threadedcomments" xmlns:x="http://schemas.openxmlformats.org/spreadsheetml/2006/main">
  <threadedComment ref="H1" dT="2020-10-26T12:47:26.78" personId="{44D4FC70-03EF-4F28-9BFA-9214CFD159FE}" id="{5C5F85C5-3D2E-4A07-9FB3-C3FCF1C62CA5}">
    <text xml:space="preserve">Fonte DOF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2.xml"/><Relationship Id="rId1" Type="http://schemas.openxmlformats.org/officeDocument/2006/relationships/vmlDrawing" Target="../drawings/vmlDrawing3.vml"/><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17" Type="http://schemas.openxmlformats.org/officeDocument/2006/relationships/hyperlink" Target="https://fehidro.saisp.br/cgi-bin/fehpublico.exe/ficha?id_contrato=9909" TargetMode="External"/><Relationship Id="rId671" Type="http://schemas.openxmlformats.org/officeDocument/2006/relationships/hyperlink" Target="https://fehidro.saisp.br/cgi-bin/fehpublico.exe/ficha?id_contrato=10652" TargetMode="External"/><Relationship Id="rId21" Type="http://schemas.openxmlformats.org/officeDocument/2006/relationships/hyperlink" Target="https://fehidro.saisp.br/cgi-bin/fehpublico.exe/ficha?id_contrato=9982" TargetMode="External"/><Relationship Id="rId324" Type="http://schemas.openxmlformats.org/officeDocument/2006/relationships/hyperlink" Target="https://fehidro.saisp.br/cgi-bin/fehpublico.exe/ficha?id_contrato=10307" TargetMode="External"/><Relationship Id="rId531" Type="http://schemas.openxmlformats.org/officeDocument/2006/relationships/hyperlink" Target="https://fehidro.saisp.br/cgi-bin/fehpublico.exe/ficha?id_contrato=10725" TargetMode="External"/><Relationship Id="rId629" Type="http://schemas.openxmlformats.org/officeDocument/2006/relationships/hyperlink" Target="https://fehidro.saisp.br/cgi-bin/fehpublico.exe/ficha?id_contrato=10746" TargetMode="External"/><Relationship Id="rId170" Type="http://schemas.openxmlformats.org/officeDocument/2006/relationships/hyperlink" Target="https://fehidro.saisp.br/cgi-bin/fehpublico.exe/ficha?id_contrato=9970" TargetMode="External"/><Relationship Id="rId268" Type="http://schemas.openxmlformats.org/officeDocument/2006/relationships/hyperlink" Target="https://fehidro.saisp.br/cgi-bin/fehpublico.exe/ficha?id_contrato=10388" TargetMode="External"/><Relationship Id="rId475" Type="http://schemas.openxmlformats.org/officeDocument/2006/relationships/hyperlink" Target="https://fehidro.saisp.br/cgi-bin/fehpublico.exe/ficha?id_contrato=10689" TargetMode="External"/><Relationship Id="rId682" Type="http://schemas.openxmlformats.org/officeDocument/2006/relationships/hyperlink" Target="https://fehidro.saisp.br/cgi-bin/fehpublico.exe/ficha?id_contrato=10514" TargetMode="External"/><Relationship Id="rId32" Type="http://schemas.openxmlformats.org/officeDocument/2006/relationships/hyperlink" Target="https://fehidro.saisp.br/cgi-bin/fehpublico.exe/ficha?id_contrato=10056" TargetMode="External"/><Relationship Id="rId128" Type="http://schemas.openxmlformats.org/officeDocument/2006/relationships/hyperlink" Target="https://fehidro.saisp.br/cgi-bin/fehpublico.exe/ficha?id_contrato=10242" TargetMode="External"/><Relationship Id="rId335" Type="http://schemas.openxmlformats.org/officeDocument/2006/relationships/hyperlink" Target="https://fehidro.saisp.br/cgi-bin/fehpublico.exe/ficha?id_contrato=10251" TargetMode="External"/><Relationship Id="rId542" Type="http://schemas.openxmlformats.org/officeDocument/2006/relationships/hyperlink" Target="https://fehidro.saisp.br/cgi-bin/fehpublico.exe/ficha?id_contrato=10544" TargetMode="External"/><Relationship Id="rId181" Type="http://schemas.openxmlformats.org/officeDocument/2006/relationships/hyperlink" Target="https://fehidro.saisp.br/cgi-bin/fehpublico.exe/ficha?id_contrato=10125" TargetMode="External"/><Relationship Id="rId402" Type="http://schemas.openxmlformats.org/officeDocument/2006/relationships/hyperlink" Target="https://fehidro.saisp.br/cgi-bin/fehpublico.exe/ficha?id_contrato=10347" TargetMode="External"/><Relationship Id="rId279" Type="http://schemas.openxmlformats.org/officeDocument/2006/relationships/hyperlink" Target="https://fehidro.saisp.br/cgi-bin/fehpublico.exe/ficha?id_contrato=10462" TargetMode="External"/><Relationship Id="rId486" Type="http://schemas.openxmlformats.org/officeDocument/2006/relationships/hyperlink" Target="https://fehidro.saisp.br/cgi-bin/fehpublico.exe/ficha?id_contrato=10685" TargetMode="External"/><Relationship Id="rId693" Type="http://schemas.openxmlformats.org/officeDocument/2006/relationships/hyperlink" Target="https://fehidro.saisp.br/cgi-bin/fehpublico.exe/ficha?id_contrato=10630" TargetMode="External"/><Relationship Id="rId43" Type="http://schemas.openxmlformats.org/officeDocument/2006/relationships/hyperlink" Target="https://fehidro.saisp.br/cgi-bin/fehpublico.exe/ficha?id_contrato=10018" TargetMode="External"/><Relationship Id="rId139" Type="http://schemas.openxmlformats.org/officeDocument/2006/relationships/hyperlink" Target="https://fehidro.saisp.br/cgi-bin/fehpublico.exe/ficha?id_contrato=10257" TargetMode="External"/><Relationship Id="rId346" Type="http://schemas.openxmlformats.org/officeDocument/2006/relationships/hyperlink" Target="https://fehidro.saisp.br/cgi-bin/fehpublico.exe/ficha?id_contrato=10178" TargetMode="External"/><Relationship Id="rId553" Type="http://schemas.openxmlformats.org/officeDocument/2006/relationships/hyperlink" Target="https://fehidro.saisp.br/cgi-bin/fehpublico.exe/ficha?id_contrato=10511" TargetMode="External"/><Relationship Id="rId192" Type="http://schemas.openxmlformats.org/officeDocument/2006/relationships/hyperlink" Target="https://fehidro.saisp.br/cgi-bin/fehpublico.exe/ficha?id_contrato=10074" TargetMode="External"/><Relationship Id="rId206" Type="http://schemas.openxmlformats.org/officeDocument/2006/relationships/hyperlink" Target="https://fehidro.saisp.br/cgi-bin/fehpublico.exe/ficha?id_contrato=10342" TargetMode="External"/><Relationship Id="rId413" Type="http://schemas.openxmlformats.org/officeDocument/2006/relationships/hyperlink" Target="https://fehidro.saisp.br/cgi-bin/fehpublico.exe/ficha?id_contrato=10361" TargetMode="External"/><Relationship Id="rId497" Type="http://schemas.openxmlformats.org/officeDocument/2006/relationships/hyperlink" Target="https://fehidro.saisp.br/cgi-bin/fehpublico.exe/ficha?id_contrato=10716" TargetMode="External"/><Relationship Id="rId620" Type="http://schemas.openxmlformats.org/officeDocument/2006/relationships/hyperlink" Target="https://fehidro.saisp.br/cgi-bin/fehpublico.exe/ficha?id_contrato=10735" TargetMode="External"/><Relationship Id="rId357" Type="http://schemas.openxmlformats.org/officeDocument/2006/relationships/hyperlink" Target="https://fehidro.saisp.br/cgi-bin/fehpublico.exe/ficha?id_contrato=9960" TargetMode="External"/><Relationship Id="rId54" Type="http://schemas.openxmlformats.org/officeDocument/2006/relationships/hyperlink" Target="https://fehidro.saisp.br/cgi-bin/fehpublico.exe/ficha?id_contrato=10270" TargetMode="External"/><Relationship Id="rId217" Type="http://schemas.openxmlformats.org/officeDocument/2006/relationships/hyperlink" Target="https://fehidro.saisp.br/cgi-bin/fehpublico.exe/ficha?id_contrato=10046" TargetMode="External"/><Relationship Id="rId564" Type="http://schemas.openxmlformats.org/officeDocument/2006/relationships/hyperlink" Target="https://fehidro.saisp.br/cgi-bin/fehpublico.exe/ficha?id_contrato=10617" TargetMode="External"/><Relationship Id="rId424" Type="http://schemas.openxmlformats.org/officeDocument/2006/relationships/hyperlink" Target="https://fehidro.saisp.br/cgi-bin/fehpublico.exe/ficha?id_contrato=10286" TargetMode="External"/><Relationship Id="rId631" Type="http://schemas.openxmlformats.org/officeDocument/2006/relationships/hyperlink" Target="https://fehidro.saisp.br/cgi-bin/fehpublico.exe/ficha?id_contrato=10748" TargetMode="External"/><Relationship Id="rId270" Type="http://schemas.openxmlformats.org/officeDocument/2006/relationships/hyperlink" Target="https://fehidro.saisp.br/cgi-bin/fehpublico.exe/ficha?id_contrato=10137" TargetMode="External"/><Relationship Id="rId65" Type="http://schemas.openxmlformats.org/officeDocument/2006/relationships/hyperlink" Target="https://fehidro.saisp.br/cgi-bin/fehpublico.exe/ficha?id_contrato=10110" TargetMode="External"/><Relationship Id="rId130" Type="http://schemas.openxmlformats.org/officeDocument/2006/relationships/hyperlink" Target="https://fehidro.saisp.br/cgi-bin/fehpublico.exe/ficha?id_contrato=10428" TargetMode="External"/><Relationship Id="rId368" Type="http://schemas.openxmlformats.org/officeDocument/2006/relationships/hyperlink" Target="https://fehidro.saisp.br/cgi-bin/fehpublico.exe/ficha?id_contrato=10123" TargetMode="External"/><Relationship Id="rId575" Type="http://schemas.openxmlformats.org/officeDocument/2006/relationships/hyperlink" Target="https://fehidro.saisp.br/cgi-bin/fehpublico.exe/ficha?id_contrato=10564" TargetMode="External"/><Relationship Id="rId228" Type="http://schemas.openxmlformats.org/officeDocument/2006/relationships/hyperlink" Target="https://fehidro.saisp.br/cgi-bin/fehpublico.exe/ficha?id_contrato=10275" TargetMode="External"/><Relationship Id="rId435" Type="http://schemas.openxmlformats.org/officeDocument/2006/relationships/hyperlink" Target="https://fehidro.saisp.br/cgi-bin/fehpublico.exe/ficha?id_contrato=10101" TargetMode="External"/><Relationship Id="rId642" Type="http://schemas.openxmlformats.org/officeDocument/2006/relationships/hyperlink" Target="https://fehidro.saisp.br/cgi-bin/fehpublico.exe/ficha?id_contrato=10583" TargetMode="External"/><Relationship Id="rId281" Type="http://schemas.openxmlformats.org/officeDocument/2006/relationships/hyperlink" Target="https://fehidro.saisp.br/cgi-bin/fehpublico.exe/ficha?id_contrato=10468" TargetMode="External"/><Relationship Id="rId502" Type="http://schemas.openxmlformats.org/officeDocument/2006/relationships/hyperlink" Target="https://fehidro.saisp.br/cgi-bin/fehpublico.exe/ficha?id_contrato=10715" TargetMode="External"/><Relationship Id="rId76" Type="http://schemas.openxmlformats.org/officeDocument/2006/relationships/hyperlink" Target="https://fehidro.saisp.br/cgi-bin/fehpublico.exe/ficha?id_contrato=10200" TargetMode="External"/><Relationship Id="rId141" Type="http://schemas.openxmlformats.org/officeDocument/2006/relationships/hyperlink" Target="https://fehidro.saisp.br/cgi-bin/fehpublico.exe/ficha?id_contrato=9932" TargetMode="External"/><Relationship Id="rId379" Type="http://schemas.openxmlformats.org/officeDocument/2006/relationships/hyperlink" Target="https://fehidro.saisp.br/cgi-bin/fehpublico.exe/ficha?id_contrato=10117" TargetMode="External"/><Relationship Id="rId586" Type="http://schemas.openxmlformats.org/officeDocument/2006/relationships/hyperlink" Target="https://fehidro.saisp.br/cgi-bin/fehpublico.exe/ficha?id_contrato=10612" TargetMode="External"/><Relationship Id="rId7" Type="http://schemas.openxmlformats.org/officeDocument/2006/relationships/hyperlink" Target="https://fehidro.saisp.br/cgi-bin/fehpublico.exe/ficha?id_contrato=10316" TargetMode="External"/><Relationship Id="rId239" Type="http://schemas.openxmlformats.org/officeDocument/2006/relationships/hyperlink" Target="https://fehidro.saisp.br/cgi-bin/fehpublico.exe/ficha?id_contrato=10106" TargetMode="External"/><Relationship Id="rId446" Type="http://schemas.openxmlformats.org/officeDocument/2006/relationships/hyperlink" Target="https://fehidro.saisp.br/cgi-bin/fehpublico.exe/ficha?id_contrato=10203" TargetMode="External"/><Relationship Id="rId653" Type="http://schemas.openxmlformats.org/officeDocument/2006/relationships/hyperlink" Target="https://fehidro.saisp.br/cgi-bin/fehpublico.exe/ficha?id_contrato=10525" TargetMode="External"/><Relationship Id="rId292" Type="http://schemas.openxmlformats.org/officeDocument/2006/relationships/hyperlink" Target="https://fehidro.saisp.br/cgi-bin/fehpublico.exe/ficha?id_contrato=10291" TargetMode="External"/><Relationship Id="rId306" Type="http://schemas.openxmlformats.org/officeDocument/2006/relationships/hyperlink" Target="https://fehidro.saisp.br/cgi-bin/fehpublico.exe/ficha?id_contrato=10088" TargetMode="External"/><Relationship Id="rId87" Type="http://schemas.openxmlformats.org/officeDocument/2006/relationships/hyperlink" Target="https://fehidro.saisp.br/cgi-bin/fehpublico.exe/ficha?id_contrato=10318" TargetMode="External"/><Relationship Id="rId513" Type="http://schemas.openxmlformats.org/officeDocument/2006/relationships/hyperlink" Target="https://fehidro.saisp.br/cgi-bin/fehpublico.exe/ficha?id_contrato=10678" TargetMode="External"/><Relationship Id="rId597" Type="http://schemas.openxmlformats.org/officeDocument/2006/relationships/hyperlink" Target="https://fehidro.saisp.br/cgi-bin/fehpublico.exe/ficha?id_contrato=10579" TargetMode="External"/><Relationship Id="rId152" Type="http://schemas.openxmlformats.org/officeDocument/2006/relationships/hyperlink" Target="https://fehidro.saisp.br/cgi-bin/fehpublico.exe/ficha?id_contrato=10301" TargetMode="External"/><Relationship Id="rId457" Type="http://schemas.openxmlformats.org/officeDocument/2006/relationships/hyperlink" Target="https://fehidro.saisp.br/cgi-bin/fehpublico.exe/ficha?id_contrato=10506" TargetMode="External"/><Relationship Id="rId664" Type="http://schemas.openxmlformats.org/officeDocument/2006/relationships/hyperlink" Target="https://fehidro.saisp.br/cgi-bin/fehpublico.exe/ficha?id_contrato=10627" TargetMode="External"/><Relationship Id="rId14" Type="http://schemas.openxmlformats.org/officeDocument/2006/relationships/hyperlink" Target="https://fehidro.saisp.br/cgi-bin/fehpublico.exe/ficha?id_contrato=10313" TargetMode="External"/><Relationship Id="rId317" Type="http://schemas.openxmlformats.org/officeDocument/2006/relationships/hyperlink" Target="https://fehidro.saisp.br/cgi-bin/fehpublico.exe/ficha?id_contrato=10447" TargetMode="External"/><Relationship Id="rId524" Type="http://schemas.openxmlformats.org/officeDocument/2006/relationships/hyperlink" Target="https://fehidro.saisp.br/cgi-bin/fehpublico.exe/ficha?id_contrato=10774" TargetMode="External"/><Relationship Id="rId98" Type="http://schemas.openxmlformats.org/officeDocument/2006/relationships/hyperlink" Target="https://fehidro.saisp.br/cgi-bin/fehpublico.exe/ficha?id_contrato=10013" TargetMode="External"/><Relationship Id="rId163" Type="http://schemas.openxmlformats.org/officeDocument/2006/relationships/hyperlink" Target="https://fehidro.saisp.br/cgi-bin/fehpublico.exe/ficha?id_contrato=10140" TargetMode="External"/><Relationship Id="rId370" Type="http://schemas.openxmlformats.org/officeDocument/2006/relationships/hyperlink" Target="https://fehidro.saisp.br/cgi-bin/fehpublico.exe/ficha?id_contrato=10129" TargetMode="External"/><Relationship Id="rId230" Type="http://schemas.openxmlformats.org/officeDocument/2006/relationships/hyperlink" Target="https://fehidro.saisp.br/cgi-bin/fehpublico.exe/ficha?id_contrato=10237" TargetMode="External"/><Relationship Id="rId468" Type="http://schemas.openxmlformats.org/officeDocument/2006/relationships/hyperlink" Target="https://fehidro.saisp.br/cgi-bin/fehpublico.exe/ficha?id_contrato=10705" TargetMode="External"/><Relationship Id="rId675" Type="http://schemas.openxmlformats.org/officeDocument/2006/relationships/hyperlink" Target="https://fehidro.saisp.br/cgi-bin/fehpublico.exe/ficha?id_contrato=10657" TargetMode="External"/><Relationship Id="rId25" Type="http://schemas.openxmlformats.org/officeDocument/2006/relationships/hyperlink" Target="https://fehidro.saisp.br/cgi-bin/fehpublico.exe/ficha?id_contrato=9988" TargetMode="External"/><Relationship Id="rId328" Type="http://schemas.openxmlformats.org/officeDocument/2006/relationships/hyperlink" Target="https://fehidro.saisp.br/cgi-bin/fehpublico.exe/ficha?id_contrato=10483" TargetMode="External"/><Relationship Id="rId535" Type="http://schemas.openxmlformats.org/officeDocument/2006/relationships/hyperlink" Target="https://fehidro.saisp.br/cgi-bin/fehpublico.exe/ficha?id_contrato=10729" TargetMode="External"/><Relationship Id="rId174" Type="http://schemas.openxmlformats.org/officeDocument/2006/relationships/hyperlink" Target="https://fehidro.saisp.br/cgi-bin/fehpublico.exe/ficha?id_contrato=10255" TargetMode="External"/><Relationship Id="rId381" Type="http://schemas.openxmlformats.org/officeDocument/2006/relationships/hyperlink" Target="https://fehidro.saisp.br/cgi-bin/fehpublico.exe/ficha?id_contrato=10420" TargetMode="External"/><Relationship Id="rId602" Type="http://schemas.openxmlformats.org/officeDocument/2006/relationships/hyperlink" Target="https://fehidro.saisp.br/cgi-bin/fehpublico.exe/ficha?id_contrato=10605" TargetMode="External"/><Relationship Id="rId241" Type="http://schemas.openxmlformats.org/officeDocument/2006/relationships/hyperlink" Target="https://fehidro.saisp.br/cgi-bin/fehpublico.exe/ficha?id_contrato=10265" TargetMode="External"/><Relationship Id="rId479" Type="http://schemas.openxmlformats.org/officeDocument/2006/relationships/hyperlink" Target="https://fehidro.saisp.br/cgi-bin/fehpublico.exe/ficha?id_contrato=10683" TargetMode="External"/><Relationship Id="rId686" Type="http://schemas.openxmlformats.org/officeDocument/2006/relationships/hyperlink" Target="https://fehidro.saisp.br/cgi-bin/fehpublico.exe/ficha?id_contrato=10567" TargetMode="External"/><Relationship Id="rId36" Type="http://schemas.openxmlformats.org/officeDocument/2006/relationships/hyperlink" Target="https://fehidro.saisp.br/cgi-bin/fehpublico.exe/ficha?id_contrato=10010" TargetMode="External"/><Relationship Id="rId339" Type="http://schemas.openxmlformats.org/officeDocument/2006/relationships/hyperlink" Target="https://fehidro.saisp.br/cgi-bin/fehpublico.exe/ficha?id_contrato=9944" TargetMode="External"/><Relationship Id="rId546" Type="http://schemas.openxmlformats.org/officeDocument/2006/relationships/hyperlink" Target="https://fehidro.saisp.br/cgi-bin/fehpublico.exe/ficha?id_contrato=10535" TargetMode="External"/><Relationship Id="rId101" Type="http://schemas.openxmlformats.org/officeDocument/2006/relationships/hyperlink" Target="https://fehidro.saisp.br/cgi-bin/fehpublico.exe/ficha?id_contrato=10385" TargetMode="External"/><Relationship Id="rId185" Type="http://schemas.openxmlformats.org/officeDocument/2006/relationships/hyperlink" Target="https://fehidro.saisp.br/cgi-bin/fehpublico.exe/ficha?id_contrato=10331" TargetMode="External"/><Relationship Id="rId406" Type="http://schemas.openxmlformats.org/officeDocument/2006/relationships/hyperlink" Target="https://fehidro.saisp.br/cgi-bin/fehpublico.exe/ficha?id_contrato=10043" TargetMode="External"/><Relationship Id="rId392" Type="http://schemas.openxmlformats.org/officeDocument/2006/relationships/hyperlink" Target="https://fehidro.saisp.br/cgi-bin/fehpublico.exe/ficha?id_contrato=10353" TargetMode="External"/><Relationship Id="rId613" Type="http://schemas.openxmlformats.org/officeDocument/2006/relationships/hyperlink" Target="https://fehidro.saisp.br/cgi-bin/fehpublico.exe/ficha?id_contrato=10637" TargetMode="External"/><Relationship Id="rId697" Type="http://schemas.openxmlformats.org/officeDocument/2006/relationships/hyperlink" Target="https://fehidro.saisp.br/cgi-bin/fehpublico.exe/ficha?id_contrato=10585" TargetMode="External"/><Relationship Id="rId252" Type="http://schemas.openxmlformats.org/officeDocument/2006/relationships/hyperlink" Target="https://fehidro.saisp.br/cgi-bin/fehpublico.exe/ficha?id_contrato=10213" TargetMode="External"/><Relationship Id="rId47" Type="http://schemas.openxmlformats.org/officeDocument/2006/relationships/hyperlink" Target="https://fehidro.saisp.br/cgi-bin/fehpublico.exe/ficha?id_contrato=10001" TargetMode="External"/><Relationship Id="rId112" Type="http://schemas.openxmlformats.org/officeDocument/2006/relationships/hyperlink" Target="https://fehidro.saisp.br/cgi-bin/fehpublico.exe/ficha?id_contrato=10322" TargetMode="External"/><Relationship Id="rId557" Type="http://schemas.openxmlformats.org/officeDocument/2006/relationships/hyperlink" Target="https://fehidro.saisp.br/cgi-bin/fehpublico.exe/ficha?id_contrato=10520" TargetMode="External"/><Relationship Id="rId196" Type="http://schemas.openxmlformats.org/officeDocument/2006/relationships/hyperlink" Target="https://fehidro.saisp.br/cgi-bin/fehpublico.exe/ficha?id_contrato=10337" TargetMode="External"/><Relationship Id="rId417" Type="http://schemas.openxmlformats.org/officeDocument/2006/relationships/hyperlink" Target="https://fehidro.saisp.br/cgi-bin/fehpublico.exe/ficha?id_contrato=10422" TargetMode="External"/><Relationship Id="rId624" Type="http://schemas.openxmlformats.org/officeDocument/2006/relationships/hyperlink" Target="https://fehidro.saisp.br/cgi-bin/fehpublico.exe/ficha?id_contrato=10741" TargetMode="External"/><Relationship Id="rId263" Type="http://schemas.openxmlformats.org/officeDocument/2006/relationships/hyperlink" Target="https://fehidro.saisp.br/cgi-bin/fehpublico.exe/ficha?id_contrato=10177" TargetMode="External"/><Relationship Id="rId470" Type="http://schemas.openxmlformats.org/officeDocument/2006/relationships/hyperlink" Target="https://fehidro.saisp.br/cgi-bin/fehpublico.exe/ficha?id_contrato=10703" TargetMode="External"/><Relationship Id="rId58" Type="http://schemas.openxmlformats.org/officeDocument/2006/relationships/hyperlink" Target="https://fehidro.saisp.br/cgi-bin/fehpublico.exe/ficha?id_contrato=10098" TargetMode="External"/><Relationship Id="rId123" Type="http://schemas.openxmlformats.org/officeDocument/2006/relationships/hyperlink" Target="https://fehidro.saisp.br/cgi-bin/fehpublico.exe/ficha?id_contrato=9953" TargetMode="External"/><Relationship Id="rId330" Type="http://schemas.openxmlformats.org/officeDocument/2006/relationships/hyperlink" Target="https://fehidro.saisp.br/cgi-bin/fehpublico.exe/ficha?id_contrato=10378" TargetMode="External"/><Relationship Id="rId568" Type="http://schemas.openxmlformats.org/officeDocument/2006/relationships/hyperlink" Target="https://fehidro.saisp.br/cgi-bin/fehpublico.exe/ficha?id_contrato=10597" TargetMode="External"/><Relationship Id="rId428" Type="http://schemas.openxmlformats.org/officeDocument/2006/relationships/hyperlink" Target="https://fehidro.saisp.br/cgi-bin/fehpublico.exe/ficha?id_contrato=9974" TargetMode="External"/><Relationship Id="rId635" Type="http://schemas.openxmlformats.org/officeDocument/2006/relationships/hyperlink" Target="https://fehidro.saisp.br/cgi-bin/fehpublico.exe/ficha?id_contrato=10752" TargetMode="External"/><Relationship Id="rId274" Type="http://schemas.openxmlformats.org/officeDocument/2006/relationships/hyperlink" Target="https://fehidro.saisp.br/cgi-bin/fehpublico.exe/ficha?id_contrato=10471" TargetMode="External"/><Relationship Id="rId481" Type="http://schemas.openxmlformats.org/officeDocument/2006/relationships/hyperlink" Target="https://fehidro.saisp.br/cgi-bin/fehpublico.exe/ficha?id_contrato=10692" TargetMode="External"/><Relationship Id="rId702" Type="http://schemas.openxmlformats.org/officeDocument/2006/relationships/vmlDrawing" Target="../drawings/vmlDrawing6.vml"/><Relationship Id="rId69" Type="http://schemas.openxmlformats.org/officeDocument/2006/relationships/hyperlink" Target="https://fehidro.saisp.br/cgi-bin/fehpublico.exe/ficha?id_contrato=10201" TargetMode="External"/><Relationship Id="rId134" Type="http://schemas.openxmlformats.org/officeDocument/2006/relationships/hyperlink" Target="https://fehidro.saisp.br/cgi-bin/fehpublico.exe/ficha?id_contrato=9948" TargetMode="External"/><Relationship Id="rId579" Type="http://schemas.openxmlformats.org/officeDocument/2006/relationships/hyperlink" Target="https://fehidro.saisp.br/cgi-bin/fehpublico.exe/ficha?id_contrato=10549" TargetMode="External"/><Relationship Id="rId341" Type="http://schemas.openxmlformats.org/officeDocument/2006/relationships/hyperlink" Target="https://fehidro.saisp.br/cgi-bin/fehpublico.exe/ficha?id_contrato=10194" TargetMode="External"/><Relationship Id="rId439" Type="http://schemas.openxmlformats.org/officeDocument/2006/relationships/hyperlink" Target="https://fehidro.saisp.br/cgi-bin/fehpublico.exe/ficha?id_contrato=10105" TargetMode="External"/><Relationship Id="rId646" Type="http://schemas.openxmlformats.org/officeDocument/2006/relationships/hyperlink" Target="https://fehidro.saisp.br/cgi-bin/fehpublico.exe/ficha?id_contrato=10590" TargetMode="External"/><Relationship Id="rId201" Type="http://schemas.openxmlformats.org/officeDocument/2006/relationships/hyperlink" Target="https://fehidro.saisp.br/cgi-bin/fehpublico.exe/ficha?id_contrato=10066" TargetMode="External"/><Relationship Id="rId285" Type="http://schemas.openxmlformats.org/officeDocument/2006/relationships/hyperlink" Target="https://fehidro.saisp.br/cgi-bin/fehpublico.exe/ficha?id_contrato=10413" TargetMode="External"/><Relationship Id="rId506" Type="http://schemas.openxmlformats.org/officeDocument/2006/relationships/hyperlink" Target="https://fehidro.saisp.br/cgi-bin/fehpublico.exe/ficha?id_contrato=10645" TargetMode="External"/><Relationship Id="rId492" Type="http://schemas.openxmlformats.org/officeDocument/2006/relationships/hyperlink" Target="https://fehidro.saisp.br/cgi-bin/fehpublico.exe/ficha?id_contrato=10754" TargetMode="External"/><Relationship Id="rId145" Type="http://schemas.openxmlformats.org/officeDocument/2006/relationships/hyperlink" Target="https://fehidro.saisp.br/cgi-bin/fehpublico.exe/ficha?id_contrato=10253" TargetMode="External"/><Relationship Id="rId352" Type="http://schemas.openxmlformats.org/officeDocument/2006/relationships/hyperlink" Target="https://fehidro.saisp.br/cgi-bin/fehpublico.exe/ficha?id_contrato=10141" TargetMode="External"/><Relationship Id="rId212" Type="http://schemas.openxmlformats.org/officeDocument/2006/relationships/hyperlink" Target="https://fehidro.saisp.br/cgi-bin/fehpublico.exe/ficha?id_contrato=9927" TargetMode="External"/><Relationship Id="rId657" Type="http://schemas.openxmlformats.org/officeDocument/2006/relationships/hyperlink" Target="https://fehidro.saisp.br/cgi-bin/fehpublico.exe/ficha?id_contrato=10530" TargetMode="External"/><Relationship Id="rId296" Type="http://schemas.openxmlformats.org/officeDocument/2006/relationships/hyperlink" Target="https://fehidro.saisp.br/cgi-bin/fehpublico.exe/ficha?id_contrato=10463" TargetMode="External"/><Relationship Id="rId517" Type="http://schemas.openxmlformats.org/officeDocument/2006/relationships/hyperlink" Target="https://fehidro.saisp.br/cgi-bin/fehpublico.exe/ficha?id_contrato=10656" TargetMode="External"/><Relationship Id="rId60" Type="http://schemas.openxmlformats.org/officeDocument/2006/relationships/hyperlink" Target="https://fehidro.saisp.br/cgi-bin/fehpublico.exe/ficha?id_contrato=10323" TargetMode="External"/><Relationship Id="rId156" Type="http://schemas.openxmlformats.org/officeDocument/2006/relationships/hyperlink" Target="https://fehidro.saisp.br/cgi-bin/fehpublico.exe/ficha?id_contrato=10183" TargetMode="External"/><Relationship Id="rId363" Type="http://schemas.openxmlformats.org/officeDocument/2006/relationships/hyperlink" Target="https://fehidro.saisp.br/cgi-bin/fehpublico.exe/ficha?id_contrato=10267" TargetMode="External"/><Relationship Id="rId570" Type="http://schemas.openxmlformats.org/officeDocument/2006/relationships/hyperlink" Target="https://fehidro.saisp.br/cgi-bin/fehpublico.exe/ficha?id_contrato=10599" TargetMode="External"/><Relationship Id="rId223" Type="http://schemas.openxmlformats.org/officeDocument/2006/relationships/hyperlink" Target="https://fehidro.saisp.br/cgi-bin/fehpublico.exe/ficha?id_contrato=10197" TargetMode="External"/><Relationship Id="rId430" Type="http://schemas.openxmlformats.org/officeDocument/2006/relationships/hyperlink" Target="https://fehidro.saisp.br/cgi-bin/fehpublico.exe/ficha?id_contrato=10000" TargetMode="External"/><Relationship Id="rId668" Type="http://schemas.openxmlformats.org/officeDocument/2006/relationships/hyperlink" Target="https://fehidro.saisp.br/cgi-bin/fehpublico.exe/ficha?id_contrato=10503" TargetMode="External"/><Relationship Id="rId18" Type="http://schemas.openxmlformats.org/officeDocument/2006/relationships/hyperlink" Target="https://fehidro.saisp.br/cgi-bin/fehpublico.exe/ficha?id_contrato=10085" TargetMode="External"/><Relationship Id="rId528" Type="http://schemas.openxmlformats.org/officeDocument/2006/relationships/hyperlink" Target="https://fehidro.saisp.br/cgi-bin/fehpublico.exe/ficha?id_contrato=10720" TargetMode="External"/><Relationship Id="rId125" Type="http://schemas.openxmlformats.org/officeDocument/2006/relationships/hyperlink" Target="https://fehidro.saisp.br/cgi-bin/fehpublico.exe/ficha?id_contrato=9995" TargetMode="External"/><Relationship Id="rId167" Type="http://schemas.openxmlformats.org/officeDocument/2006/relationships/hyperlink" Target="https://fehidro.saisp.br/cgi-bin/fehpublico.exe/ficha?id_contrato=9968" TargetMode="External"/><Relationship Id="rId332" Type="http://schemas.openxmlformats.org/officeDocument/2006/relationships/hyperlink" Target="https://fehidro.saisp.br/cgi-bin/fehpublico.exe/ficha?id_contrato=10240" TargetMode="External"/><Relationship Id="rId374" Type="http://schemas.openxmlformats.org/officeDocument/2006/relationships/hyperlink" Target="https://fehidro.saisp.br/cgi-bin/fehpublico.exe/ficha?id_contrato=10418" TargetMode="External"/><Relationship Id="rId581" Type="http://schemas.openxmlformats.org/officeDocument/2006/relationships/hyperlink" Target="https://fehidro.saisp.br/cgi-bin/fehpublico.exe/ficha?id_contrato=10563" TargetMode="External"/><Relationship Id="rId71" Type="http://schemas.openxmlformats.org/officeDocument/2006/relationships/hyperlink" Target="https://fehidro.saisp.br/cgi-bin/fehpublico.exe/ficha?id_contrato=10156" TargetMode="External"/><Relationship Id="rId234" Type="http://schemas.openxmlformats.org/officeDocument/2006/relationships/hyperlink" Target="https://fehidro.saisp.br/cgi-bin/fehpublico.exe/ficha?id_contrato=10326" TargetMode="External"/><Relationship Id="rId637" Type="http://schemas.openxmlformats.org/officeDocument/2006/relationships/hyperlink" Target="https://fehidro.saisp.br/cgi-bin/fehpublico.exe/ficha?id_contrato=10566" TargetMode="External"/><Relationship Id="rId679" Type="http://schemas.openxmlformats.org/officeDocument/2006/relationships/hyperlink" Target="https://fehidro.saisp.br/cgi-bin/fehpublico.exe/ficha?id_contrato=10773" TargetMode="External"/><Relationship Id="rId2" Type="http://schemas.openxmlformats.org/officeDocument/2006/relationships/hyperlink" Target="https://fehidro.saisp.br/cgi-bin/fehpublico.exe/ficha?id_contrato=10171" TargetMode="External"/><Relationship Id="rId29" Type="http://schemas.openxmlformats.org/officeDocument/2006/relationships/hyperlink" Target="https://fehidro.saisp.br/cgi-bin/fehpublico.exe/ficha?id_contrato=10375" TargetMode="External"/><Relationship Id="rId276" Type="http://schemas.openxmlformats.org/officeDocument/2006/relationships/hyperlink" Target="https://fehidro.saisp.br/cgi-bin/fehpublico.exe/ficha?id_contrato=10476" TargetMode="External"/><Relationship Id="rId441" Type="http://schemas.openxmlformats.org/officeDocument/2006/relationships/hyperlink" Target="https://fehidro.saisp.br/cgi-bin/fehpublico.exe/ficha?id_contrato=10358" TargetMode="External"/><Relationship Id="rId483" Type="http://schemas.openxmlformats.org/officeDocument/2006/relationships/hyperlink" Target="https://fehidro.saisp.br/cgi-bin/fehpublico.exe/ficha?id_contrato=10684" TargetMode="External"/><Relationship Id="rId539" Type="http://schemas.openxmlformats.org/officeDocument/2006/relationships/hyperlink" Target="https://fehidro.saisp.br/cgi-bin/fehpublico.exe/ficha?id_contrato=10629" TargetMode="External"/><Relationship Id="rId690" Type="http://schemas.openxmlformats.org/officeDocument/2006/relationships/hyperlink" Target="https://fehidro.saisp.br/cgi-bin/fehpublico.exe/ficha?id_contrato=10576" TargetMode="External"/><Relationship Id="rId704" Type="http://schemas.openxmlformats.org/officeDocument/2006/relationships/comments" Target="../comments6.xml"/><Relationship Id="rId40" Type="http://schemas.openxmlformats.org/officeDocument/2006/relationships/hyperlink" Target="https://fehidro.saisp.br/cgi-bin/fehpublico.exe/ficha?id_contrato=10367" TargetMode="External"/><Relationship Id="rId136" Type="http://schemas.openxmlformats.org/officeDocument/2006/relationships/hyperlink" Target="https://fehidro.saisp.br/cgi-bin/fehpublico.exe/ficha?id_contrato=10278" TargetMode="External"/><Relationship Id="rId178" Type="http://schemas.openxmlformats.org/officeDocument/2006/relationships/hyperlink" Target="https://fehidro.saisp.br/cgi-bin/fehpublico.exe/ficha?id_contrato=10033" TargetMode="External"/><Relationship Id="rId301" Type="http://schemas.openxmlformats.org/officeDocument/2006/relationships/hyperlink" Target="https://fehidro.saisp.br/cgi-bin/fehpublico.exe/ficha?id_contrato=10294" TargetMode="External"/><Relationship Id="rId343" Type="http://schemas.openxmlformats.org/officeDocument/2006/relationships/hyperlink" Target="https://fehidro.saisp.br/cgi-bin/fehpublico.exe/ficha?id_contrato=10430" TargetMode="External"/><Relationship Id="rId550" Type="http://schemas.openxmlformats.org/officeDocument/2006/relationships/hyperlink" Target="https://fehidro.saisp.br/cgi-bin/fehpublico.exe/ficha?id_contrato=10516" TargetMode="External"/><Relationship Id="rId82" Type="http://schemas.openxmlformats.org/officeDocument/2006/relationships/hyperlink" Target="https://fehidro.saisp.br/cgi-bin/fehpublico.exe/ficha?id_contrato=10159" TargetMode="External"/><Relationship Id="rId203" Type="http://schemas.openxmlformats.org/officeDocument/2006/relationships/hyperlink" Target="https://fehidro.saisp.br/cgi-bin/fehpublico.exe/ficha?id_contrato=10349" TargetMode="External"/><Relationship Id="rId385" Type="http://schemas.openxmlformats.org/officeDocument/2006/relationships/hyperlink" Target="https://fehidro.saisp.br/cgi-bin/fehpublico.exe/ficha?id_contrato=10058" TargetMode="External"/><Relationship Id="rId592" Type="http://schemas.openxmlformats.org/officeDocument/2006/relationships/hyperlink" Target="https://fehidro.saisp.br/cgi-bin/fehpublico.exe/ficha?id_contrato=10569" TargetMode="External"/><Relationship Id="rId606" Type="http://schemas.openxmlformats.org/officeDocument/2006/relationships/hyperlink" Target="https://fehidro.saisp.br/cgi-bin/fehpublico.exe/ficha?id_contrato=10609" TargetMode="External"/><Relationship Id="rId648" Type="http://schemas.openxmlformats.org/officeDocument/2006/relationships/hyperlink" Target="https://fehidro.saisp.br/cgi-bin/fehpublico.exe/ficha?id_contrato=10760" TargetMode="External"/><Relationship Id="rId245" Type="http://schemas.openxmlformats.org/officeDocument/2006/relationships/hyperlink" Target="https://fehidro.saisp.br/cgi-bin/fehpublico.exe/ficha?id_contrato=10228" TargetMode="External"/><Relationship Id="rId287" Type="http://schemas.openxmlformats.org/officeDocument/2006/relationships/hyperlink" Target="https://fehidro.saisp.br/cgi-bin/fehpublico.exe/ficha?id_contrato=10472" TargetMode="External"/><Relationship Id="rId410" Type="http://schemas.openxmlformats.org/officeDocument/2006/relationships/hyperlink" Target="https://fehidro.saisp.br/cgi-bin/fehpublico.exe/ficha?id_contrato=10012" TargetMode="External"/><Relationship Id="rId452" Type="http://schemas.openxmlformats.org/officeDocument/2006/relationships/hyperlink" Target="https://fehidro.saisp.br/cgi-bin/fehpublico.exe/ficha?id_contrato=10667" TargetMode="External"/><Relationship Id="rId494" Type="http://schemas.openxmlformats.org/officeDocument/2006/relationships/hyperlink" Target="https://fehidro.saisp.br/cgi-bin/fehpublico.exe/ficha?id_contrato=10756" TargetMode="External"/><Relationship Id="rId508" Type="http://schemas.openxmlformats.org/officeDocument/2006/relationships/hyperlink" Target="https://fehidro.saisp.br/cgi-bin/fehpublico.exe/ficha?id_contrato=10668" TargetMode="External"/><Relationship Id="rId105" Type="http://schemas.openxmlformats.org/officeDocument/2006/relationships/hyperlink" Target="https://fehidro.saisp.br/cgi-bin/fehpublico.exe/ficha?id_contrato=10461" TargetMode="External"/><Relationship Id="rId147" Type="http://schemas.openxmlformats.org/officeDocument/2006/relationships/hyperlink" Target="https://fehidro.saisp.br/cgi-bin/fehpublico.exe/ficha?id_contrato=10427" TargetMode="External"/><Relationship Id="rId312" Type="http://schemas.openxmlformats.org/officeDocument/2006/relationships/hyperlink" Target="https://fehidro.saisp.br/cgi-bin/fehpublico.exe/ficha?id_contrato=10474" TargetMode="External"/><Relationship Id="rId354" Type="http://schemas.openxmlformats.org/officeDocument/2006/relationships/hyperlink" Target="https://fehidro.saisp.br/cgi-bin/fehpublico.exe/ficha?id_contrato=9973" TargetMode="External"/><Relationship Id="rId51" Type="http://schemas.openxmlformats.org/officeDocument/2006/relationships/hyperlink" Target="https://fehidro.saisp.br/cgi-bin/fehpublico.exe/ficha?id_contrato=10269" TargetMode="External"/><Relationship Id="rId93" Type="http://schemas.openxmlformats.org/officeDocument/2006/relationships/hyperlink" Target="https://fehidro.saisp.br/cgi-bin/fehpublico.exe/ficha?id_contrato=10176" TargetMode="External"/><Relationship Id="rId189" Type="http://schemas.openxmlformats.org/officeDocument/2006/relationships/hyperlink" Target="https://fehidro.saisp.br/cgi-bin/fehpublico.exe/ficha?id_contrato=10116" TargetMode="External"/><Relationship Id="rId396" Type="http://schemas.openxmlformats.org/officeDocument/2006/relationships/hyperlink" Target="https://fehidro.saisp.br/cgi-bin/fehpublico.exe/ficha?id_contrato=10336" TargetMode="External"/><Relationship Id="rId561" Type="http://schemas.openxmlformats.org/officeDocument/2006/relationships/hyperlink" Target="https://fehidro.saisp.br/cgi-bin/fehpublico.exe/ficha?id_contrato=10538" TargetMode="External"/><Relationship Id="rId617" Type="http://schemas.openxmlformats.org/officeDocument/2006/relationships/hyperlink" Target="https://fehidro.saisp.br/cgi-bin/fehpublico.exe/ficha?id_contrato=10722" TargetMode="External"/><Relationship Id="rId659" Type="http://schemas.openxmlformats.org/officeDocument/2006/relationships/hyperlink" Target="https://fehidro.saisp.br/cgi-bin/fehpublico.exe/ficha?id_contrato=10619" TargetMode="External"/><Relationship Id="rId214" Type="http://schemas.openxmlformats.org/officeDocument/2006/relationships/hyperlink" Target="https://fehidro.saisp.br/cgi-bin/fehpublico.exe/ficha?id_contrato=10045" TargetMode="External"/><Relationship Id="rId256" Type="http://schemas.openxmlformats.org/officeDocument/2006/relationships/hyperlink" Target="https://fehidro.saisp.br/cgi-bin/fehpublico.exe/ficha?id_contrato=10165" TargetMode="External"/><Relationship Id="rId298" Type="http://schemas.openxmlformats.org/officeDocument/2006/relationships/hyperlink" Target="https://fehidro.saisp.br/cgi-bin/fehpublico.exe/ficha?id_contrato=10442" TargetMode="External"/><Relationship Id="rId421" Type="http://schemas.openxmlformats.org/officeDocument/2006/relationships/hyperlink" Target="https://fehidro.saisp.br/cgi-bin/fehpublico.exe/ficha?id_contrato=10486" TargetMode="External"/><Relationship Id="rId463" Type="http://schemas.openxmlformats.org/officeDocument/2006/relationships/hyperlink" Target="https://fehidro.saisp.br/cgi-bin/fehpublico.exe/ficha?id_contrato=10710" TargetMode="External"/><Relationship Id="rId519" Type="http://schemas.openxmlformats.org/officeDocument/2006/relationships/hyperlink" Target="https://fehidro.saisp.br/cgi-bin/fehpublico.exe/ficha?id_contrato=10659" TargetMode="External"/><Relationship Id="rId670" Type="http://schemas.openxmlformats.org/officeDocument/2006/relationships/hyperlink" Target="https://fehidro.saisp.br/cgi-bin/fehpublico.exe/ficha?id_contrato=10686" TargetMode="External"/><Relationship Id="rId116" Type="http://schemas.openxmlformats.org/officeDocument/2006/relationships/hyperlink" Target="https://fehidro.saisp.br/cgi-bin/fehpublico.exe/ficha?id_contrato=10309" TargetMode="External"/><Relationship Id="rId158" Type="http://schemas.openxmlformats.org/officeDocument/2006/relationships/hyperlink" Target="https://fehidro.saisp.br/cgi-bin/fehpublico.exe/ficha?id_contrato=10144" TargetMode="External"/><Relationship Id="rId323" Type="http://schemas.openxmlformats.org/officeDocument/2006/relationships/hyperlink" Target="https://fehidro.saisp.br/cgi-bin/fehpublico.exe/ficha?id_contrato=10311" TargetMode="External"/><Relationship Id="rId530" Type="http://schemas.openxmlformats.org/officeDocument/2006/relationships/hyperlink" Target="https://fehidro.saisp.br/cgi-bin/fehpublico.exe/ficha?id_contrato=10724" TargetMode="External"/><Relationship Id="rId20" Type="http://schemas.openxmlformats.org/officeDocument/2006/relationships/hyperlink" Target="https://fehidro.saisp.br/cgi-bin/fehpublico.exe/ficha?id_contrato=9978" TargetMode="External"/><Relationship Id="rId62" Type="http://schemas.openxmlformats.org/officeDocument/2006/relationships/hyperlink" Target="https://fehidro.saisp.br/cgi-bin/fehpublico.exe/ficha?id_contrato=10328" TargetMode="External"/><Relationship Id="rId365" Type="http://schemas.openxmlformats.org/officeDocument/2006/relationships/hyperlink" Target="https://fehidro.saisp.br/cgi-bin/fehpublico.exe/ficha?id_contrato=10021" TargetMode="External"/><Relationship Id="rId572" Type="http://schemas.openxmlformats.org/officeDocument/2006/relationships/hyperlink" Target="https://fehidro.saisp.br/cgi-bin/fehpublico.exe/ficha?id_contrato=10614" TargetMode="External"/><Relationship Id="rId628" Type="http://schemas.openxmlformats.org/officeDocument/2006/relationships/hyperlink" Target="https://fehidro.saisp.br/cgi-bin/fehpublico.exe/ficha?id_contrato=10745" TargetMode="External"/><Relationship Id="rId225" Type="http://schemas.openxmlformats.org/officeDocument/2006/relationships/hyperlink" Target="https://fehidro.saisp.br/cgi-bin/fehpublico.exe/ficha?id_contrato=10221" TargetMode="External"/><Relationship Id="rId267" Type="http://schemas.openxmlformats.org/officeDocument/2006/relationships/hyperlink" Target="https://fehidro.saisp.br/cgi-bin/fehpublico.exe/ficha?id_contrato=10133" TargetMode="External"/><Relationship Id="rId432" Type="http://schemas.openxmlformats.org/officeDocument/2006/relationships/hyperlink" Target="https://fehidro.saisp.br/cgi-bin/fehpublico.exe/ficha?id_contrato=10283" TargetMode="External"/><Relationship Id="rId474" Type="http://schemas.openxmlformats.org/officeDocument/2006/relationships/hyperlink" Target="https://fehidro.saisp.br/cgi-bin/fehpublico.exe/ficha?id_contrato=10688" TargetMode="External"/><Relationship Id="rId127" Type="http://schemas.openxmlformats.org/officeDocument/2006/relationships/hyperlink" Target="https://fehidro.saisp.br/cgi-bin/fehpublico.exe/ficha?id_contrato=9928" TargetMode="External"/><Relationship Id="rId681" Type="http://schemas.openxmlformats.org/officeDocument/2006/relationships/hyperlink" Target="https://fehidro.saisp.br/cgi-bin/fehpublico.exe/ficha?id_contrato=10508" TargetMode="External"/><Relationship Id="rId31" Type="http://schemas.openxmlformats.org/officeDocument/2006/relationships/hyperlink" Target="https://fehidro.saisp.br/cgi-bin/fehpublico.exe/ficha?id_contrato=10051" TargetMode="External"/><Relationship Id="rId73" Type="http://schemas.openxmlformats.org/officeDocument/2006/relationships/hyperlink" Target="https://fehidro.saisp.br/cgi-bin/fehpublico.exe/ficha?id_contrato=10139" TargetMode="External"/><Relationship Id="rId169" Type="http://schemas.openxmlformats.org/officeDocument/2006/relationships/hyperlink" Target="https://fehidro.saisp.br/cgi-bin/fehpublico.exe/ficha?id_contrato=10122" TargetMode="External"/><Relationship Id="rId334" Type="http://schemas.openxmlformats.org/officeDocument/2006/relationships/hyperlink" Target="https://fehidro.saisp.br/cgi-bin/fehpublico.exe/ficha?id_contrato=10252" TargetMode="External"/><Relationship Id="rId376" Type="http://schemas.openxmlformats.org/officeDocument/2006/relationships/hyperlink" Target="https://fehidro.saisp.br/cgi-bin/fehpublico.exe/ficha?id_contrato=10124" TargetMode="External"/><Relationship Id="rId541" Type="http://schemas.openxmlformats.org/officeDocument/2006/relationships/hyperlink" Target="https://fehidro.saisp.br/cgi-bin/fehpublico.exe/ficha?id_contrato=10547" TargetMode="External"/><Relationship Id="rId583" Type="http://schemas.openxmlformats.org/officeDocument/2006/relationships/hyperlink" Target="https://fehidro.saisp.br/cgi-bin/fehpublico.exe/ficha?id_contrato=10592" TargetMode="External"/><Relationship Id="rId639" Type="http://schemas.openxmlformats.org/officeDocument/2006/relationships/hyperlink" Target="https://fehidro.saisp.br/cgi-bin/fehpublico.exe/ficha?id_contrato=10581" TargetMode="External"/><Relationship Id="rId4" Type="http://schemas.openxmlformats.org/officeDocument/2006/relationships/hyperlink" Target="https://fehidro.saisp.br/cgi-bin/fehpublico.exe/ficha?id_contrato=10273" TargetMode="External"/><Relationship Id="rId180" Type="http://schemas.openxmlformats.org/officeDocument/2006/relationships/hyperlink" Target="https://fehidro.saisp.br/cgi-bin/fehpublico.exe/ficha?id_contrato=10131" TargetMode="External"/><Relationship Id="rId236" Type="http://schemas.openxmlformats.org/officeDocument/2006/relationships/hyperlink" Target="https://fehidro.saisp.br/cgi-bin/fehpublico.exe/ficha?id_contrato=10330" TargetMode="External"/><Relationship Id="rId278" Type="http://schemas.openxmlformats.org/officeDocument/2006/relationships/hyperlink" Target="https://fehidro.saisp.br/cgi-bin/fehpublico.exe/ficha?id_contrato=10465" TargetMode="External"/><Relationship Id="rId401" Type="http://schemas.openxmlformats.org/officeDocument/2006/relationships/hyperlink" Target="https://fehidro.saisp.br/cgi-bin/fehpublico.exe/ficha?id_contrato=10345" TargetMode="External"/><Relationship Id="rId443" Type="http://schemas.openxmlformats.org/officeDocument/2006/relationships/hyperlink" Target="https://fehidro.saisp.br/cgi-bin/fehpublico.exe/ficha?id_contrato=10204" TargetMode="External"/><Relationship Id="rId650" Type="http://schemas.openxmlformats.org/officeDocument/2006/relationships/hyperlink" Target="https://fehidro.saisp.br/cgi-bin/fehpublico.exe/ficha?id_contrato=10526" TargetMode="External"/><Relationship Id="rId303" Type="http://schemas.openxmlformats.org/officeDocument/2006/relationships/hyperlink" Target="https://fehidro.saisp.br/cgi-bin/fehpublico.exe/ficha?id_contrato=10303" TargetMode="External"/><Relationship Id="rId485" Type="http://schemas.openxmlformats.org/officeDocument/2006/relationships/hyperlink" Target="https://fehidro.saisp.br/cgi-bin/fehpublico.exe/ficha?id_contrato=10701" TargetMode="External"/><Relationship Id="rId692" Type="http://schemas.openxmlformats.org/officeDocument/2006/relationships/hyperlink" Target="https://fehidro.saisp.br/cgi-bin/fehpublico.exe/ficha?id_contrato=10579" TargetMode="External"/><Relationship Id="rId42" Type="http://schemas.openxmlformats.org/officeDocument/2006/relationships/hyperlink" Target="https://fehidro.saisp.br/cgi-bin/fehpublico.exe/ficha?id_contrato=10480" TargetMode="External"/><Relationship Id="rId84" Type="http://schemas.openxmlformats.org/officeDocument/2006/relationships/hyperlink" Target="https://fehidro.saisp.br/cgi-bin/fehpublico.exe/ficha?id_contrato=10154" TargetMode="External"/><Relationship Id="rId138" Type="http://schemas.openxmlformats.org/officeDocument/2006/relationships/hyperlink" Target="https://fehidro.saisp.br/cgi-bin/fehpublico.exe/ficha?id_contrato=9940" TargetMode="External"/><Relationship Id="rId345" Type="http://schemas.openxmlformats.org/officeDocument/2006/relationships/hyperlink" Target="https://fehidro.saisp.br/cgi-bin/fehpublico.exe/ficha?id_contrato=10448" TargetMode="External"/><Relationship Id="rId387" Type="http://schemas.openxmlformats.org/officeDocument/2006/relationships/hyperlink" Target="https://fehidro.saisp.br/cgi-bin/fehpublico.exe/ficha?id_contrato=10068" TargetMode="External"/><Relationship Id="rId510" Type="http://schemas.openxmlformats.org/officeDocument/2006/relationships/hyperlink" Target="https://fehidro.saisp.br/cgi-bin/fehpublico.exe/ficha?id_contrato=10670" TargetMode="External"/><Relationship Id="rId552" Type="http://schemas.openxmlformats.org/officeDocument/2006/relationships/hyperlink" Target="https://fehidro.saisp.br/cgi-bin/fehpublico.exe/ficha?id_contrato=10513" TargetMode="External"/><Relationship Id="rId594" Type="http://schemas.openxmlformats.org/officeDocument/2006/relationships/hyperlink" Target="https://fehidro.saisp.br/cgi-bin/fehpublico.exe/ficha?id_contrato=10576" TargetMode="External"/><Relationship Id="rId608" Type="http://schemas.openxmlformats.org/officeDocument/2006/relationships/hyperlink" Target="https://fehidro.saisp.br/cgi-bin/fehpublico.exe/ficha?id_contrato=10611" TargetMode="External"/><Relationship Id="rId191" Type="http://schemas.openxmlformats.org/officeDocument/2006/relationships/hyperlink" Target="https://fehidro.saisp.br/cgi-bin/fehpublico.exe/ficha?id_contrato=10320" TargetMode="External"/><Relationship Id="rId205" Type="http://schemas.openxmlformats.org/officeDocument/2006/relationships/hyperlink" Target="https://fehidro.saisp.br/cgi-bin/fehpublico.exe/ficha?id_contrato=10063" TargetMode="External"/><Relationship Id="rId247" Type="http://schemas.openxmlformats.org/officeDocument/2006/relationships/hyperlink" Target="https://fehidro.saisp.br/cgi-bin/fehpublico.exe/ficha?id_contrato=10357" TargetMode="External"/><Relationship Id="rId412" Type="http://schemas.openxmlformats.org/officeDocument/2006/relationships/hyperlink" Target="https://fehidro.saisp.br/cgi-bin/fehpublico.exe/ficha?id_contrato=10245" TargetMode="External"/><Relationship Id="rId107" Type="http://schemas.openxmlformats.org/officeDocument/2006/relationships/hyperlink" Target="https://fehidro.saisp.br/cgi-bin/fehpublico.exe/ficha?id_contrato=10025" TargetMode="External"/><Relationship Id="rId289" Type="http://schemas.openxmlformats.org/officeDocument/2006/relationships/hyperlink" Target="https://fehidro.saisp.br/cgi-bin/fehpublico.exe/ficha?id_contrato=10111" TargetMode="External"/><Relationship Id="rId454" Type="http://schemas.openxmlformats.org/officeDocument/2006/relationships/hyperlink" Target="https://fehidro.saisp.br/cgi-bin/fehpublico.exe/ficha?id_contrato=10679" TargetMode="External"/><Relationship Id="rId496" Type="http://schemas.openxmlformats.org/officeDocument/2006/relationships/hyperlink" Target="https://fehidro.saisp.br/cgi-bin/fehpublico.exe/ficha?id_contrato=10758" TargetMode="External"/><Relationship Id="rId661" Type="http://schemas.openxmlformats.org/officeDocument/2006/relationships/hyperlink" Target="https://fehidro.saisp.br/cgi-bin/fehpublico.exe/ficha?id_contrato=10622" TargetMode="External"/><Relationship Id="rId11" Type="http://schemas.openxmlformats.org/officeDocument/2006/relationships/hyperlink" Target="https://fehidro.saisp.br/cgi-bin/fehpublico.exe/ficha?id_contrato=10455" TargetMode="External"/><Relationship Id="rId53" Type="http://schemas.openxmlformats.org/officeDocument/2006/relationships/hyperlink" Target="https://fehidro.saisp.br/cgi-bin/fehpublico.exe/ficha?id_contrato=10184" TargetMode="External"/><Relationship Id="rId149" Type="http://schemas.openxmlformats.org/officeDocument/2006/relationships/hyperlink" Target="https://fehidro.saisp.br/cgi-bin/fehpublico.exe/ficha?id_contrato=10138" TargetMode="External"/><Relationship Id="rId314" Type="http://schemas.openxmlformats.org/officeDocument/2006/relationships/hyperlink" Target="https://fehidro.saisp.br/cgi-bin/fehpublico.exe/ficha?id_contrato=10460" TargetMode="External"/><Relationship Id="rId356" Type="http://schemas.openxmlformats.org/officeDocument/2006/relationships/hyperlink" Target="https://fehidro.saisp.br/cgi-bin/fehpublico.exe/ficha?id_contrato=9972" TargetMode="External"/><Relationship Id="rId398" Type="http://schemas.openxmlformats.org/officeDocument/2006/relationships/hyperlink" Target="https://fehidro.saisp.br/cgi-bin/fehpublico.exe/ficha?id_contrato=10057" TargetMode="External"/><Relationship Id="rId521" Type="http://schemas.openxmlformats.org/officeDocument/2006/relationships/hyperlink" Target="https://fehidro.saisp.br/cgi-bin/fehpublico.exe/ficha?id_contrato=10662" TargetMode="External"/><Relationship Id="rId563" Type="http://schemas.openxmlformats.org/officeDocument/2006/relationships/hyperlink" Target="https://fehidro.saisp.br/cgi-bin/fehpublico.exe/ficha?id_contrato=10776" TargetMode="External"/><Relationship Id="rId619" Type="http://schemas.openxmlformats.org/officeDocument/2006/relationships/hyperlink" Target="https://fehidro.saisp.br/cgi-bin/fehpublico.exe/ficha?id_contrato=10733" TargetMode="External"/><Relationship Id="rId95" Type="http://schemas.openxmlformats.org/officeDocument/2006/relationships/hyperlink" Target="https://fehidro.saisp.br/cgi-bin/fehpublico.exe/ficha?id_contrato=10136" TargetMode="External"/><Relationship Id="rId160" Type="http://schemas.openxmlformats.org/officeDocument/2006/relationships/hyperlink" Target="https://fehidro.saisp.br/cgi-bin/fehpublico.exe/ficha?id_contrato=10297" TargetMode="External"/><Relationship Id="rId216" Type="http://schemas.openxmlformats.org/officeDocument/2006/relationships/hyperlink" Target="https://fehidro.saisp.br/cgi-bin/fehpublico.exe/ficha?id_contrato=10408" TargetMode="External"/><Relationship Id="rId423" Type="http://schemas.openxmlformats.org/officeDocument/2006/relationships/hyperlink" Target="https://fehidro.saisp.br/cgi-bin/fehpublico.exe/ficha?id_contrato=10277" TargetMode="External"/><Relationship Id="rId258" Type="http://schemas.openxmlformats.org/officeDocument/2006/relationships/hyperlink" Target="https://fehidro.saisp.br/cgi-bin/fehpublico.exe/ficha?id_contrato=10168" TargetMode="External"/><Relationship Id="rId465" Type="http://schemas.openxmlformats.org/officeDocument/2006/relationships/hyperlink" Target="https://fehidro.saisp.br/cgi-bin/fehpublico.exe/ficha?id_contrato=10695" TargetMode="External"/><Relationship Id="rId630" Type="http://schemas.openxmlformats.org/officeDocument/2006/relationships/hyperlink" Target="https://fehidro.saisp.br/cgi-bin/fehpublico.exe/ficha?id_contrato=10747" TargetMode="External"/><Relationship Id="rId672" Type="http://schemas.openxmlformats.org/officeDocument/2006/relationships/hyperlink" Target="https://fehidro.saisp.br/cgi-bin/fehpublico.exe/ficha?id_contrato=10734" TargetMode="External"/><Relationship Id="rId22" Type="http://schemas.openxmlformats.org/officeDocument/2006/relationships/hyperlink" Target="https://fehidro.saisp.br/cgi-bin/fehpublico.exe/ficha?id_contrato=9991" TargetMode="External"/><Relationship Id="rId64" Type="http://schemas.openxmlformats.org/officeDocument/2006/relationships/hyperlink" Target="https://fehidro.saisp.br/cgi-bin/fehpublico.exe/ficha?id_contrato=10109" TargetMode="External"/><Relationship Id="rId118" Type="http://schemas.openxmlformats.org/officeDocument/2006/relationships/hyperlink" Target="https://fehidro.saisp.br/cgi-bin/fehpublico.exe/ficha?id_contrato=9904" TargetMode="External"/><Relationship Id="rId325" Type="http://schemas.openxmlformats.org/officeDocument/2006/relationships/hyperlink" Target="https://fehidro.saisp.br/cgi-bin/fehpublico.exe/ficha?id_contrato=10310" TargetMode="External"/><Relationship Id="rId367" Type="http://schemas.openxmlformats.org/officeDocument/2006/relationships/hyperlink" Target="https://fehidro.saisp.br/cgi-bin/fehpublico.exe/ficha?id_contrato=10373" TargetMode="External"/><Relationship Id="rId532" Type="http://schemas.openxmlformats.org/officeDocument/2006/relationships/hyperlink" Target="https://fehidro.saisp.br/cgi-bin/fehpublico.exe/ficha?id_contrato=10726" TargetMode="External"/><Relationship Id="rId574" Type="http://schemas.openxmlformats.org/officeDocument/2006/relationships/hyperlink" Target="https://fehidro.saisp.br/cgi-bin/fehpublico.exe/ficha?id_contrato=10769" TargetMode="External"/><Relationship Id="rId171" Type="http://schemas.openxmlformats.org/officeDocument/2006/relationships/hyperlink" Target="https://fehidro.saisp.br/cgi-bin/fehpublico.exe/ficha?id_contrato=10232" TargetMode="External"/><Relationship Id="rId227" Type="http://schemas.openxmlformats.org/officeDocument/2006/relationships/hyperlink" Target="https://fehidro.saisp.br/cgi-bin/fehpublico.exe/ficha?id_contrato=9993" TargetMode="External"/><Relationship Id="rId269" Type="http://schemas.openxmlformats.org/officeDocument/2006/relationships/hyperlink" Target="https://fehidro.saisp.br/cgi-bin/fehpublico.exe/ficha?id_contrato=10475" TargetMode="External"/><Relationship Id="rId434" Type="http://schemas.openxmlformats.org/officeDocument/2006/relationships/hyperlink" Target="https://fehidro.saisp.br/cgi-bin/fehpublico.exe/ficha?id_contrato=10096" TargetMode="External"/><Relationship Id="rId476" Type="http://schemas.openxmlformats.org/officeDocument/2006/relationships/hyperlink" Target="https://fehidro.saisp.br/cgi-bin/fehpublico.exe/ficha?id_contrato=10709" TargetMode="External"/><Relationship Id="rId641" Type="http://schemas.openxmlformats.org/officeDocument/2006/relationships/hyperlink" Target="https://fehidro.saisp.br/cgi-bin/fehpublico.exe/ficha?id_contrato=10582" TargetMode="External"/><Relationship Id="rId683" Type="http://schemas.openxmlformats.org/officeDocument/2006/relationships/hyperlink" Target="https://fehidro.saisp.br/cgi-bin/fehpublico.exe/ficha?id_contrato=10542" TargetMode="External"/><Relationship Id="rId33" Type="http://schemas.openxmlformats.org/officeDocument/2006/relationships/hyperlink" Target="https://fehidro.saisp.br/cgi-bin/fehpublico.exe/ficha?id_contrato=10346" TargetMode="External"/><Relationship Id="rId129" Type="http://schemas.openxmlformats.org/officeDocument/2006/relationships/hyperlink" Target="https://fehidro.saisp.br/cgi-bin/fehpublico.exe/ficha?id_contrato=10235" TargetMode="External"/><Relationship Id="rId280" Type="http://schemas.openxmlformats.org/officeDocument/2006/relationships/hyperlink" Target="https://fehidro.saisp.br/cgi-bin/fehpublico.exe/ficha?id_contrato=10118" TargetMode="External"/><Relationship Id="rId336" Type="http://schemas.openxmlformats.org/officeDocument/2006/relationships/hyperlink" Target="https://fehidro.saisp.br/cgi-bin/fehpublico.exe/ficha?id_contrato=10244" TargetMode="External"/><Relationship Id="rId501" Type="http://schemas.openxmlformats.org/officeDocument/2006/relationships/hyperlink" Target="https://fehidro.saisp.br/cgi-bin/fehpublico.exe/ficha?id_contrato=10717" TargetMode="External"/><Relationship Id="rId543" Type="http://schemas.openxmlformats.org/officeDocument/2006/relationships/hyperlink" Target="https://fehidro.saisp.br/cgi-bin/fehpublico.exe/ficha?id_contrato=10546" TargetMode="External"/><Relationship Id="rId75" Type="http://schemas.openxmlformats.org/officeDocument/2006/relationships/hyperlink" Target="https://fehidro.saisp.br/cgi-bin/fehpublico.exe/ficha?id_contrato=10299" TargetMode="External"/><Relationship Id="rId140" Type="http://schemas.openxmlformats.org/officeDocument/2006/relationships/hyperlink" Target="https://fehidro.saisp.br/cgi-bin/fehpublico.exe/ficha?id_contrato=9931" TargetMode="External"/><Relationship Id="rId182" Type="http://schemas.openxmlformats.org/officeDocument/2006/relationships/hyperlink" Target="https://fehidro.saisp.br/cgi-bin/fehpublico.exe/ficha?id_contrato=10126" TargetMode="External"/><Relationship Id="rId378" Type="http://schemas.openxmlformats.org/officeDocument/2006/relationships/hyperlink" Target="https://fehidro.saisp.br/cgi-bin/fehpublico.exe/ficha?id_contrato=10419" TargetMode="External"/><Relationship Id="rId403" Type="http://schemas.openxmlformats.org/officeDocument/2006/relationships/hyperlink" Target="https://fehidro.saisp.br/cgi-bin/fehpublico.exe/ficha?id_contrato=10226" TargetMode="External"/><Relationship Id="rId585" Type="http://schemas.openxmlformats.org/officeDocument/2006/relationships/hyperlink" Target="https://fehidro.saisp.br/cgi-bin/fehpublico.exe/ficha?id_contrato=10594" TargetMode="External"/><Relationship Id="rId6" Type="http://schemas.openxmlformats.org/officeDocument/2006/relationships/hyperlink" Target="https://fehidro.saisp.br/cgi-bin/fehpublico.exe/ficha?id_contrato=10290" TargetMode="External"/><Relationship Id="rId238" Type="http://schemas.openxmlformats.org/officeDocument/2006/relationships/hyperlink" Target="https://fehidro.saisp.br/cgi-bin/fehpublico.exe/ficha?id_contrato=10112" TargetMode="External"/><Relationship Id="rId445" Type="http://schemas.openxmlformats.org/officeDocument/2006/relationships/hyperlink" Target="https://fehidro.saisp.br/cgi-bin/fehpublico.exe/ficha?id_contrato=10206" TargetMode="External"/><Relationship Id="rId487" Type="http://schemas.openxmlformats.org/officeDocument/2006/relationships/hyperlink" Target="https://fehidro.saisp.br/cgi-bin/fehpublico.exe/ficha?id_contrato=10686" TargetMode="External"/><Relationship Id="rId610" Type="http://schemas.openxmlformats.org/officeDocument/2006/relationships/hyperlink" Target="https://fehidro.saisp.br/cgi-bin/fehpublico.exe/ficha?id_contrato=10488" TargetMode="External"/><Relationship Id="rId652" Type="http://schemas.openxmlformats.org/officeDocument/2006/relationships/hyperlink" Target="https://fehidro.saisp.br/cgi-bin/fehpublico.exe/ficha?id_contrato=10524" TargetMode="External"/><Relationship Id="rId694" Type="http://schemas.openxmlformats.org/officeDocument/2006/relationships/hyperlink" Target="https://fehidro.saisp.br/cgi-bin/fehpublico.exe/ficha?id_contrato=10632" TargetMode="External"/><Relationship Id="rId291" Type="http://schemas.openxmlformats.org/officeDocument/2006/relationships/hyperlink" Target="https://fehidro.saisp.br/cgi-bin/fehpublico.exe/ficha?id_contrato=10304" TargetMode="External"/><Relationship Id="rId305" Type="http://schemas.openxmlformats.org/officeDocument/2006/relationships/hyperlink" Target="https://fehidro.saisp.br/cgi-bin/fehpublico.exe/ficha?id_contrato=10445" TargetMode="External"/><Relationship Id="rId347" Type="http://schemas.openxmlformats.org/officeDocument/2006/relationships/hyperlink" Target="https://fehidro.saisp.br/cgi-bin/fehpublico.exe/ficha?id_contrato=10225" TargetMode="External"/><Relationship Id="rId512" Type="http://schemas.openxmlformats.org/officeDocument/2006/relationships/hyperlink" Target="https://fehidro.saisp.br/cgi-bin/fehpublico.exe/ficha?id_contrato=10676" TargetMode="External"/><Relationship Id="rId44" Type="http://schemas.openxmlformats.org/officeDocument/2006/relationships/hyperlink" Target="https://fehidro.saisp.br/cgi-bin/fehpublico.exe/ficha?id_contrato=10006" TargetMode="External"/><Relationship Id="rId86" Type="http://schemas.openxmlformats.org/officeDocument/2006/relationships/hyperlink" Target="https://fehidro.saisp.br/cgi-bin/fehpublico.exe/ficha?id_contrato=10153" TargetMode="External"/><Relationship Id="rId151" Type="http://schemas.openxmlformats.org/officeDocument/2006/relationships/hyperlink" Target="https://fehidro.saisp.br/cgi-bin/fehpublico.exe/ficha?id_contrato=10142" TargetMode="External"/><Relationship Id="rId389" Type="http://schemas.openxmlformats.org/officeDocument/2006/relationships/hyperlink" Target="https://fehidro.saisp.br/cgi-bin/fehpublico.exe/ficha?id_contrato=10335" TargetMode="External"/><Relationship Id="rId554" Type="http://schemas.openxmlformats.org/officeDocument/2006/relationships/hyperlink" Target="https://fehidro.saisp.br/cgi-bin/fehpublico.exe/ficha?id_contrato=10515" TargetMode="External"/><Relationship Id="rId596" Type="http://schemas.openxmlformats.org/officeDocument/2006/relationships/hyperlink" Target="https://fehidro.saisp.br/cgi-bin/fehpublico.exe/ficha?id_contrato=10578" TargetMode="External"/><Relationship Id="rId193" Type="http://schemas.openxmlformats.org/officeDocument/2006/relationships/hyperlink" Target="https://fehidro.saisp.br/cgi-bin/fehpublico.exe/ficha?id_contrato=10065" TargetMode="External"/><Relationship Id="rId207" Type="http://schemas.openxmlformats.org/officeDocument/2006/relationships/hyperlink" Target="https://fehidro.saisp.br/cgi-bin/fehpublico.exe/ficha?id_contrato=10379" TargetMode="External"/><Relationship Id="rId249" Type="http://schemas.openxmlformats.org/officeDocument/2006/relationships/hyperlink" Target="https://fehidro.saisp.br/cgi-bin/fehpublico.exe/ficha?id_contrato=10202" TargetMode="External"/><Relationship Id="rId414" Type="http://schemas.openxmlformats.org/officeDocument/2006/relationships/hyperlink" Target="https://fehidro.saisp.br/cgi-bin/fehpublico.exe/ficha?id_contrato=10363" TargetMode="External"/><Relationship Id="rId456" Type="http://schemas.openxmlformats.org/officeDocument/2006/relationships/hyperlink" Target="https://fehidro.saisp.br/cgi-bin/fehpublico.exe/ficha?id_contrato=10505" TargetMode="External"/><Relationship Id="rId498" Type="http://schemas.openxmlformats.org/officeDocument/2006/relationships/hyperlink" Target="https://fehidro.saisp.br/cgi-bin/fehpublico.exe/ficha?id_contrato=10738" TargetMode="External"/><Relationship Id="rId621" Type="http://schemas.openxmlformats.org/officeDocument/2006/relationships/hyperlink" Target="https://fehidro.saisp.br/cgi-bin/fehpublico.exe/ficha?id_contrato=10737" TargetMode="External"/><Relationship Id="rId663" Type="http://schemas.openxmlformats.org/officeDocument/2006/relationships/hyperlink" Target="https://fehidro.saisp.br/cgi-bin/fehpublico.exe/ficha?id_contrato=10626" TargetMode="External"/><Relationship Id="rId13" Type="http://schemas.openxmlformats.org/officeDocument/2006/relationships/hyperlink" Target="https://fehidro.saisp.br/cgi-bin/fehpublico.exe/ficha?id_contrato=10115" TargetMode="External"/><Relationship Id="rId109" Type="http://schemas.openxmlformats.org/officeDocument/2006/relationships/hyperlink" Target="https://fehidro.saisp.br/cgi-bin/fehpublico.exe/ficha?id_contrato=10026" TargetMode="External"/><Relationship Id="rId260" Type="http://schemas.openxmlformats.org/officeDocument/2006/relationships/hyperlink" Target="https://fehidro.saisp.br/cgi-bin/fehpublico.exe/ficha?id_contrato=10224" TargetMode="External"/><Relationship Id="rId316" Type="http://schemas.openxmlformats.org/officeDocument/2006/relationships/hyperlink" Target="https://fehidro.saisp.br/cgi-bin/fehpublico.exe/ficha?id_contrato=10453" TargetMode="External"/><Relationship Id="rId523" Type="http://schemas.openxmlformats.org/officeDocument/2006/relationships/hyperlink" Target="https://fehidro.saisp.br/cgi-bin/fehpublico.exe/ficha?id_contrato=10772" TargetMode="External"/><Relationship Id="rId55" Type="http://schemas.openxmlformats.org/officeDocument/2006/relationships/hyperlink" Target="https://fehidro.saisp.br/cgi-bin/fehpublico.exe/ficha?id_contrato=10284" TargetMode="External"/><Relationship Id="rId97" Type="http://schemas.openxmlformats.org/officeDocument/2006/relationships/hyperlink" Target="https://fehidro.saisp.br/cgi-bin/fehpublico.exe/ficha?id_contrato=10014" TargetMode="External"/><Relationship Id="rId120" Type="http://schemas.openxmlformats.org/officeDocument/2006/relationships/hyperlink" Target="https://fehidro.saisp.br/cgi-bin/fehpublico.exe/ficha?id_contrato=10086" TargetMode="External"/><Relationship Id="rId358" Type="http://schemas.openxmlformats.org/officeDocument/2006/relationships/hyperlink" Target="https://fehidro.saisp.br/cgi-bin/fehpublico.exe/ficha?id_contrato=10259" TargetMode="External"/><Relationship Id="rId565" Type="http://schemas.openxmlformats.org/officeDocument/2006/relationships/hyperlink" Target="https://fehidro.saisp.br/cgi-bin/fehpublico.exe/ficha?id_contrato=10616" TargetMode="External"/><Relationship Id="rId162" Type="http://schemas.openxmlformats.org/officeDocument/2006/relationships/hyperlink" Target="https://fehidro.saisp.br/cgi-bin/fehpublico.exe/ficha?id_contrato=10148" TargetMode="External"/><Relationship Id="rId218" Type="http://schemas.openxmlformats.org/officeDocument/2006/relationships/hyperlink" Target="https://fehidro.saisp.br/cgi-bin/fehpublico.exe/ficha?id_contrato=10038" TargetMode="External"/><Relationship Id="rId425" Type="http://schemas.openxmlformats.org/officeDocument/2006/relationships/hyperlink" Target="https://fehidro.saisp.br/cgi-bin/fehpublico.exe/ficha?id_contrato=9999" TargetMode="External"/><Relationship Id="rId467" Type="http://schemas.openxmlformats.org/officeDocument/2006/relationships/hyperlink" Target="https://fehidro.saisp.br/cgi-bin/fehpublico.exe/ficha?id_contrato=10691" TargetMode="External"/><Relationship Id="rId632" Type="http://schemas.openxmlformats.org/officeDocument/2006/relationships/hyperlink" Target="https://fehidro.saisp.br/cgi-bin/fehpublico.exe/ficha?id_contrato=10749" TargetMode="External"/><Relationship Id="rId271" Type="http://schemas.openxmlformats.org/officeDocument/2006/relationships/hyperlink" Target="https://fehidro.saisp.br/cgi-bin/fehpublico.exe/ficha?id_contrato=10334" TargetMode="External"/><Relationship Id="rId674" Type="http://schemas.openxmlformats.org/officeDocument/2006/relationships/hyperlink" Target="https://fehidro.saisp.br/cgi-bin/fehpublico.exe/ficha?id_contrato=10648" TargetMode="External"/><Relationship Id="rId24" Type="http://schemas.openxmlformats.org/officeDocument/2006/relationships/hyperlink" Target="https://fehidro.saisp.br/cgi-bin/fehpublico.exe/ficha?id_contrato=9964" TargetMode="External"/><Relationship Id="rId66" Type="http://schemas.openxmlformats.org/officeDocument/2006/relationships/hyperlink" Target="https://fehidro.saisp.br/cgi-bin/fehpublico.exe/ficha?id_contrato=10229" TargetMode="External"/><Relationship Id="rId131" Type="http://schemas.openxmlformats.org/officeDocument/2006/relationships/hyperlink" Target="https://fehidro.saisp.br/cgi-bin/fehpublico.exe/ficha?id_contrato=9936" TargetMode="External"/><Relationship Id="rId327" Type="http://schemas.openxmlformats.org/officeDocument/2006/relationships/hyperlink" Target="https://fehidro.saisp.br/cgi-bin/fehpublico.exe/ficha?id_contrato=10485" TargetMode="External"/><Relationship Id="rId369" Type="http://schemas.openxmlformats.org/officeDocument/2006/relationships/hyperlink" Target="https://fehidro.saisp.br/cgi-bin/fehpublico.exe/ficha?id_contrato=10128" TargetMode="External"/><Relationship Id="rId534" Type="http://schemas.openxmlformats.org/officeDocument/2006/relationships/hyperlink" Target="https://fehidro.saisp.br/cgi-bin/fehpublico.exe/ficha?id_contrato=10728" TargetMode="External"/><Relationship Id="rId576" Type="http://schemas.openxmlformats.org/officeDocument/2006/relationships/hyperlink" Target="https://fehidro.saisp.br/cgi-bin/fehpublico.exe/ficha?id_contrato=10539" TargetMode="External"/><Relationship Id="rId173" Type="http://schemas.openxmlformats.org/officeDocument/2006/relationships/hyperlink" Target="https://fehidro.saisp.br/cgi-bin/fehpublico.exe/ficha?id_contrato=10091" TargetMode="External"/><Relationship Id="rId229" Type="http://schemas.openxmlformats.org/officeDocument/2006/relationships/hyperlink" Target="https://fehidro.saisp.br/cgi-bin/fehpublico.exe/ficha?id_contrato=10220" TargetMode="External"/><Relationship Id="rId380" Type="http://schemas.openxmlformats.org/officeDocument/2006/relationships/hyperlink" Target="https://fehidro.saisp.br/cgi-bin/fehpublico.exe/ficha?id_contrato=10078" TargetMode="External"/><Relationship Id="rId436" Type="http://schemas.openxmlformats.org/officeDocument/2006/relationships/hyperlink" Target="https://fehidro.saisp.br/cgi-bin/fehpublico.exe/ficha?id_contrato=10324" TargetMode="External"/><Relationship Id="rId601" Type="http://schemas.openxmlformats.org/officeDocument/2006/relationships/hyperlink" Target="https://fehidro.saisp.br/cgi-bin/fehpublico.exe/ficha?id_contrato=10604" TargetMode="External"/><Relationship Id="rId643" Type="http://schemas.openxmlformats.org/officeDocument/2006/relationships/hyperlink" Target="https://fehidro.saisp.br/cgi-bin/fehpublico.exe/ficha?id_contrato=10584" TargetMode="External"/><Relationship Id="rId240" Type="http://schemas.openxmlformats.org/officeDocument/2006/relationships/hyperlink" Target="https://fehidro.saisp.br/cgi-bin/fehpublico.exe/ficha?id_contrato=10329" TargetMode="External"/><Relationship Id="rId478" Type="http://schemas.openxmlformats.org/officeDocument/2006/relationships/hyperlink" Target="https://fehidro.saisp.br/cgi-bin/fehpublico.exe/ficha?id_contrato=10693" TargetMode="External"/><Relationship Id="rId685" Type="http://schemas.openxmlformats.org/officeDocument/2006/relationships/hyperlink" Target="https://fehidro.saisp.br/cgi-bin/fehpublico.exe/ficha?id_contrato=10565" TargetMode="External"/><Relationship Id="rId35" Type="http://schemas.openxmlformats.org/officeDocument/2006/relationships/hyperlink" Target="https://fehidro.saisp.br/cgi-bin/fehpublico.exe/ficha?id_contrato=10384" TargetMode="External"/><Relationship Id="rId77" Type="http://schemas.openxmlformats.org/officeDocument/2006/relationships/hyperlink" Target="https://fehidro.saisp.br/cgi-bin/fehpublico.exe/ficha?id_contrato=10167" TargetMode="External"/><Relationship Id="rId100" Type="http://schemas.openxmlformats.org/officeDocument/2006/relationships/hyperlink" Target="https://fehidro.saisp.br/cgi-bin/fehpublico.exe/ficha?id_contrato=10135" TargetMode="External"/><Relationship Id="rId282" Type="http://schemas.openxmlformats.org/officeDocument/2006/relationships/hyperlink" Target="https://fehidro.saisp.br/cgi-bin/fehpublico.exe/ficha?id_contrato=10464" TargetMode="External"/><Relationship Id="rId338" Type="http://schemas.openxmlformats.org/officeDocument/2006/relationships/hyperlink" Target="https://fehidro.saisp.br/cgi-bin/fehpublico.exe/ficha?id_contrato=10185" TargetMode="External"/><Relationship Id="rId503" Type="http://schemas.openxmlformats.org/officeDocument/2006/relationships/hyperlink" Target="https://fehidro.saisp.br/cgi-bin/fehpublico.exe/ficha?id_contrato=10663" TargetMode="External"/><Relationship Id="rId545" Type="http://schemas.openxmlformats.org/officeDocument/2006/relationships/hyperlink" Target="https://fehidro.saisp.br/cgi-bin/fehpublico.exe/ficha?id_contrato=10624" TargetMode="External"/><Relationship Id="rId587" Type="http://schemas.openxmlformats.org/officeDocument/2006/relationships/hyperlink" Target="https://fehidro.saisp.br/cgi-bin/fehpublico.exe/ficha?id_contrato=10613" TargetMode="External"/><Relationship Id="rId8" Type="http://schemas.openxmlformats.org/officeDocument/2006/relationships/hyperlink" Target="https://fehidro.saisp.br/cgi-bin/fehpublico.exe/ficha?id_contrato=10317" TargetMode="External"/><Relationship Id="rId142" Type="http://schemas.openxmlformats.org/officeDocument/2006/relationships/hyperlink" Target="https://fehidro.saisp.br/cgi-bin/fehpublico.exe/ficha?id_contrato=9949" TargetMode="External"/><Relationship Id="rId184" Type="http://schemas.openxmlformats.org/officeDocument/2006/relationships/hyperlink" Target="https://fehidro.saisp.br/cgi-bin/fehpublico.exe/ficha?id_contrato=10376" TargetMode="External"/><Relationship Id="rId391" Type="http://schemas.openxmlformats.org/officeDocument/2006/relationships/hyperlink" Target="https://fehidro.saisp.br/cgi-bin/fehpublico.exe/ficha?id_contrato=10050" TargetMode="External"/><Relationship Id="rId405" Type="http://schemas.openxmlformats.org/officeDocument/2006/relationships/hyperlink" Target="https://fehidro.saisp.br/cgi-bin/fehpublico.exe/ficha?id_contrato=10381" TargetMode="External"/><Relationship Id="rId447" Type="http://schemas.openxmlformats.org/officeDocument/2006/relationships/hyperlink" Target="https://fehidro.saisp.br/cgi-bin/fehpublico.exe/ficha?id_contrato=10205" TargetMode="External"/><Relationship Id="rId612" Type="http://schemas.openxmlformats.org/officeDocument/2006/relationships/hyperlink" Target="https://fehidro.saisp.br/cgi-bin/fehpublico.exe/ficha?id_contrato=10631" TargetMode="External"/><Relationship Id="rId251" Type="http://schemas.openxmlformats.org/officeDocument/2006/relationships/hyperlink" Target="https://fehidro.saisp.br/cgi-bin/fehpublico.exe/ficha?id_contrato=10212" TargetMode="External"/><Relationship Id="rId489" Type="http://schemas.openxmlformats.org/officeDocument/2006/relationships/hyperlink" Target="https://fehidro.saisp.br/cgi-bin/fehpublico.exe/ficha?id_contrato=10652" TargetMode="External"/><Relationship Id="rId654" Type="http://schemas.openxmlformats.org/officeDocument/2006/relationships/hyperlink" Target="https://fehidro.saisp.br/cgi-bin/fehpublico.exe/ficha?id_contrato=10529" TargetMode="External"/><Relationship Id="rId696" Type="http://schemas.openxmlformats.org/officeDocument/2006/relationships/hyperlink" Target="https://fehidro.saisp.br/cgi-bin/fehpublico.exe/ficha?id_contrato=10575" TargetMode="External"/><Relationship Id="rId46" Type="http://schemas.openxmlformats.org/officeDocument/2006/relationships/hyperlink" Target="https://fehidro.saisp.br/cgi-bin/fehpublico.exe/ficha?id_contrato=10003" TargetMode="External"/><Relationship Id="rId293" Type="http://schemas.openxmlformats.org/officeDocument/2006/relationships/hyperlink" Target="https://fehidro.saisp.br/cgi-bin/fehpublico.exe/ficha?id_contrato=10450" TargetMode="External"/><Relationship Id="rId307" Type="http://schemas.openxmlformats.org/officeDocument/2006/relationships/hyperlink" Target="https://fehidro.saisp.br/cgi-bin/fehpublico.exe/ficha?id_contrato=10087" TargetMode="External"/><Relationship Id="rId349" Type="http://schemas.openxmlformats.org/officeDocument/2006/relationships/hyperlink" Target="https://fehidro.saisp.br/cgi-bin/fehpublico.exe/ficha?id_contrato=10145" TargetMode="External"/><Relationship Id="rId514" Type="http://schemas.openxmlformats.org/officeDocument/2006/relationships/hyperlink" Target="https://fehidro.saisp.br/cgi-bin/fehpublico.exe/ficha?id_contrato=10649" TargetMode="External"/><Relationship Id="rId556" Type="http://schemas.openxmlformats.org/officeDocument/2006/relationships/hyperlink" Target="https://fehidro.saisp.br/cgi-bin/fehpublico.exe/ficha?id_contrato=10521" TargetMode="External"/><Relationship Id="rId88" Type="http://schemas.openxmlformats.org/officeDocument/2006/relationships/hyperlink" Target="https://fehidro.saisp.br/cgi-bin/fehpublico.exe/ficha?id_contrato=10157" TargetMode="External"/><Relationship Id="rId111" Type="http://schemas.openxmlformats.org/officeDocument/2006/relationships/hyperlink" Target="https://fehidro.saisp.br/cgi-bin/fehpublico.exe/ficha?id_contrato=10312" TargetMode="External"/><Relationship Id="rId153" Type="http://schemas.openxmlformats.org/officeDocument/2006/relationships/hyperlink" Target="https://fehidro.saisp.br/cgi-bin/fehpublico.exe/ficha?id_contrato=10147" TargetMode="External"/><Relationship Id="rId195" Type="http://schemas.openxmlformats.org/officeDocument/2006/relationships/hyperlink" Target="https://fehidro.saisp.br/cgi-bin/fehpublico.exe/ficha?id_contrato=10343" TargetMode="External"/><Relationship Id="rId209" Type="http://schemas.openxmlformats.org/officeDocument/2006/relationships/hyperlink" Target="https://fehidro.saisp.br/cgi-bin/fehpublico.exe/ficha?id_contrato=10383" TargetMode="External"/><Relationship Id="rId360" Type="http://schemas.openxmlformats.org/officeDocument/2006/relationships/hyperlink" Target="https://fehidro.saisp.br/cgi-bin/fehpublico.exe/ficha?id_contrato=10261" TargetMode="External"/><Relationship Id="rId416" Type="http://schemas.openxmlformats.org/officeDocument/2006/relationships/hyperlink" Target="https://fehidro.saisp.br/cgi-bin/fehpublico.exe/ficha?id_contrato=10362" TargetMode="External"/><Relationship Id="rId598" Type="http://schemas.openxmlformats.org/officeDocument/2006/relationships/hyperlink" Target="https://fehidro.saisp.br/cgi-bin/fehpublico.exe/ficha?id_contrato=10534" TargetMode="External"/><Relationship Id="rId220" Type="http://schemas.openxmlformats.org/officeDocument/2006/relationships/hyperlink" Target="https://fehidro.saisp.br/cgi-bin/fehpublico.exe/ficha?id_contrato=10293" TargetMode="External"/><Relationship Id="rId458" Type="http://schemas.openxmlformats.org/officeDocument/2006/relationships/hyperlink" Target="https://fehidro.saisp.br/cgi-bin/fehpublico.exe/ficha?id_contrato=10635" TargetMode="External"/><Relationship Id="rId623" Type="http://schemas.openxmlformats.org/officeDocument/2006/relationships/hyperlink" Target="https://fehidro.saisp.br/cgi-bin/fehpublico.exe/ficha?id_contrato=10740" TargetMode="External"/><Relationship Id="rId665" Type="http://schemas.openxmlformats.org/officeDocument/2006/relationships/hyperlink" Target="https://fehidro.saisp.br/cgi-bin/fehpublico.exe/ficha?id_contrato=10618" TargetMode="External"/><Relationship Id="rId15" Type="http://schemas.openxmlformats.org/officeDocument/2006/relationships/hyperlink" Target="https://fehidro.saisp.br/cgi-bin/fehpublico.exe/ficha?id_contrato=9955" TargetMode="External"/><Relationship Id="rId57" Type="http://schemas.openxmlformats.org/officeDocument/2006/relationships/hyperlink" Target="https://fehidro.saisp.br/cgi-bin/fehpublico.exe/ficha?id_contrato=10095" TargetMode="External"/><Relationship Id="rId262" Type="http://schemas.openxmlformats.org/officeDocument/2006/relationships/hyperlink" Target="https://fehidro.saisp.br/cgi-bin/fehpublico.exe/ficha?id_contrato=10175" TargetMode="External"/><Relationship Id="rId318" Type="http://schemas.openxmlformats.org/officeDocument/2006/relationships/hyperlink" Target="https://fehidro.saisp.br/cgi-bin/fehpublico.exe/ficha?id_contrato=10092" TargetMode="External"/><Relationship Id="rId525" Type="http://schemas.openxmlformats.org/officeDocument/2006/relationships/hyperlink" Target="https://fehidro.saisp.br/cgi-bin/fehpublico.exe/ficha?id_contrato=10711" TargetMode="External"/><Relationship Id="rId567" Type="http://schemas.openxmlformats.org/officeDocument/2006/relationships/hyperlink" Target="https://fehidro.saisp.br/cgi-bin/fehpublico.exe/ficha?id_contrato=10596" TargetMode="External"/><Relationship Id="rId99" Type="http://schemas.openxmlformats.org/officeDocument/2006/relationships/hyperlink" Target="https://fehidro.saisp.br/cgi-bin/fehpublico.exe/ficha?id_contrato=10387" TargetMode="External"/><Relationship Id="rId122" Type="http://schemas.openxmlformats.org/officeDocument/2006/relationships/hyperlink" Target="https://fehidro.saisp.br/cgi-bin/fehpublico.exe/ficha?id_contrato=10236" TargetMode="External"/><Relationship Id="rId164" Type="http://schemas.openxmlformats.org/officeDocument/2006/relationships/hyperlink" Target="https://fehidro.saisp.br/cgi-bin/fehpublico.exe/ficha?id_contrato=10412" TargetMode="External"/><Relationship Id="rId371" Type="http://schemas.openxmlformats.org/officeDocument/2006/relationships/hyperlink" Target="https://fehidro.saisp.br/cgi-bin/fehpublico.exe/ficha?id_contrato=10374" TargetMode="External"/><Relationship Id="rId427" Type="http://schemas.openxmlformats.org/officeDocument/2006/relationships/hyperlink" Target="https://fehidro.saisp.br/cgi-bin/fehpublico.exe/ficha?id_contrato=10195" TargetMode="External"/><Relationship Id="rId469" Type="http://schemas.openxmlformats.org/officeDocument/2006/relationships/hyperlink" Target="https://fehidro.saisp.br/cgi-bin/fehpublico.exe/ficha?id_contrato=10706" TargetMode="External"/><Relationship Id="rId634" Type="http://schemas.openxmlformats.org/officeDocument/2006/relationships/hyperlink" Target="https://fehidro.saisp.br/cgi-bin/fehpublico.exe/ficha?id_contrato=10751" TargetMode="External"/><Relationship Id="rId676" Type="http://schemas.openxmlformats.org/officeDocument/2006/relationships/hyperlink" Target="https://fehidro.saisp.br/cgi-bin/fehpublico.exe/ficha?id_contrato=10644" TargetMode="External"/><Relationship Id="rId26" Type="http://schemas.openxmlformats.org/officeDocument/2006/relationships/hyperlink" Target="https://fehidro.saisp.br/cgi-bin/fehpublico.exe/ficha?id_contrato=9977" TargetMode="External"/><Relationship Id="rId231" Type="http://schemas.openxmlformats.org/officeDocument/2006/relationships/hyperlink" Target="https://fehidro.saisp.br/cgi-bin/fehpublico.exe/ficha?id_contrato=10274" TargetMode="External"/><Relationship Id="rId273" Type="http://schemas.openxmlformats.org/officeDocument/2006/relationships/hyperlink" Target="https://fehidro.saisp.br/cgi-bin/fehpublico.exe/ficha?id_contrato=10449" TargetMode="External"/><Relationship Id="rId329" Type="http://schemas.openxmlformats.org/officeDocument/2006/relationships/hyperlink" Target="https://fehidro.saisp.br/cgi-bin/fehpublico.exe/ficha?id_contrato=10484" TargetMode="External"/><Relationship Id="rId480" Type="http://schemas.openxmlformats.org/officeDocument/2006/relationships/hyperlink" Target="https://fehidro.saisp.br/cgi-bin/fehpublico.exe/ficha?id_contrato=10696" TargetMode="External"/><Relationship Id="rId536" Type="http://schemas.openxmlformats.org/officeDocument/2006/relationships/hyperlink" Target="https://fehidro.saisp.br/cgi-bin/fehpublico.exe/ficha?id_contrato=10730" TargetMode="External"/><Relationship Id="rId701" Type="http://schemas.openxmlformats.org/officeDocument/2006/relationships/printerSettings" Target="../printerSettings/printerSettings6.bin"/><Relationship Id="rId68" Type="http://schemas.openxmlformats.org/officeDocument/2006/relationships/hyperlink" Target="https://fehidro.saisp.br/cgi-bin/fehpublico.exe/ficha?id_contrato=10208" TargetMode="External"/><Relationship Id="rId133" Type="http://schemas.openxmlformats.org/officeDocument/2006/relationships/hyperlink" Target="https://fehidro.saisp.br/cgi-bin/fehpublico.exe/ficha?id_contrato=10193" TargetMode="External"/><Relationship Id="rId175" Type="http://schemas.openxmlformats.org/officeDocument/2006/relationships/hyperlink" Target="https://fehidro.saisp.br/cgi-bin/fehpublico.exe/ficha?id_contrato=9989" TargetMode="External"/><Relationship Id="rId340" Type="http://schemas.openxmlformats.org/officeDocument/2006/relationships/hyperlink" Target="https://fehidro.saisp.br/cgi-bin/fehpublico.exe/ficha?id_contrato=10426" TargetMode="External"/><Relationship Id="rId578" Type="http://schemas.openxmlformats.org/officeDocument/2006/relationships/hyperlink" Target="https://fehidro.saisp.br/cgi-bin/fehpublico.exe/ficha?id_contrato=10545" TargetMode="External"/><Relationship Id="rId200" Type="http://schemas.openxmlformats.org/officeDocument/2006/relationships/hyperlink" Target="https://fehidro.saisp.br/cgi-bin/fehpublico.exe/ficha?id_contrato=10053" TargetMode="External"/><Relationship Id="rId382" Type="http://schemas.openxmlformats.org/officeDocument/2006/relationships/hyperlink" Target="https://fehidro.saisp.br/cgi-bin/fehpublico.exe/ficha?id_contrato=10351" TargetMode="External"/><Relationship Id="rId438" Type="http://schemas.openxmlformats.org/officeDocument/2006/relationships/hyperlink" Target="https://fehidro.saisp.br/cgi-bin/fehpublico.exe/ficha?id_contrato=10094" TargetMode="External"/><Relationship Id="rId603" Type="http://schemas.openxmlformats.org/officeDocument/2006/relationships/hyperlink" Target="https://fehidro.saisp.br/cgi-bin/fehpublico.exe/ficha?id_contrato=10606" TargetMode="External"/><Relationship Id="rId645" Type="http://schemas.openxmlformats.org/officeDocument/2006/relationships/hyperlink" Target="https://fehidro.saisp.br/cgi-bin/fehpublico.exe/ficha?id_contrato=10587" TargetMode="External"/><Relationship Id="rId687" Type="http://schemas.openxmlformats.org/officeDocument/2006/relationships/hyperlink" Target="https://fehidro.saisp.br/cgi-bin/fehpublico.exe/ficha?id_contrato=10568" TargetMode="External"/><Relationship Id="rId242" Type="http://schemas.openxmlformats.org/officeDocument/2006/relationships/hyperlink" Target="https://fehidro.saisp.br/cgi-bin/fehpublico.exe/ficha?id_contrato=10266" TargetMode="External"/><Relationship Id="rId284" Type="http://schemas.openxmlformats.org/officeDocument/2006/relationships/hyperlink" Target="https://fehidro.saisp.br/cgi-bin/fehpublico.exe/ficha?id_contrato=10121" TargetMode="External"/><Relationship Id="rId491" Type="http://schemas.openxmlformats.org/officeDocument/2006/relationships/hyperlink" Target="https://fehidro.saisp.br/cgi-bin/fehpublico.exe/ficha?id_contrato=10699" TargetMode="External"/><Relationship Id="rId505" Type="http://schemas.openxmlformats.org/officeDocument/2006/relationships/hyperlink" Target="https://fehidro.saisp.br/cgi-bin/fehpublico.exe/ficha?id_contrato=10671" TargetMode="External"/><Relationship Id="rId37" Type="http://schemas.openxmlformats.org/officeDocument/2006/relationships/hyperlink" Target="https://fehidro.saisp.br/cgi-bin/fehpublico.exe/ficha?id_contrato=10368" TargetMode="External"/><Relationship Id="rId79" Type="http://schemas.openxmlformats.org/officeDocument/2006/relationships/hyperlink" Target="https://fehidro.saisp.br/cgi-bin/fehpublico.exe/ficha?id_contrato=10199" TargetMode="External"/><Relationship Id="rId102" Type="http://schemas.openxmlformats.org/officeDocument/2006/relationships/hyperlink" Target="https://fehidro.saisp.br/cgi-bin/fehpublico.exe/ficha?id_contrato=10031" TargetMode="External"/><Relationship Id="rId144" Type="http://schemas.openxmlformats.org/officeDocument/2006/relationships/hyperlink" Target="https://fehidro.saisp.br/cgi-bin/fehpublico.exe/ficha?id_contrato=10241" TargetMode="External"/><Relationship Id="rId547" Type="http://schemas.openxmlformats.org/officeDocument/2006/relationships/hyperlink" Target="https://fehidro.saisp.br/cgi-bin/fehpublico.exe/ficha?id_contrato=10509" TargetMode="External"/><Relationship Id="rId589" Type="http://schemas.openxmlformats.org/officeDocument/2006/relationships/hyperlink" Target="https://fehidro.saisp.br/cgi-bin/fehpublico.exe/ficha?id_contrato=10531" TargetMode="External"/><Relationship Id="rId90" Type="http://schemas.openxmlformats.org/officeDocument/2006/relationships/hyperlink" Target="https://fehidro.saisp.br/cgi-bin/fehpublico.exe/ficha?id_contrato=10174" TargetMode="External"/><Relationship Id="rId186" Type="http://schemas.openxmlformats.org/officeDocument/2006/relationships/hyperlink" Target="https://fehidro.saisp.br/cgi-bin/fehpublico.exe/ficha?id_contrato=10421" TargetMode="External"/><Relationship Id="rId351" Type="http://schemas.openxmlformats.org/officeDocument/2006/relationships/hyperlink" Target="https://fehidro.saisp.br/cgi-bin/fehpublico.exe/ficha?id_contrato=10302" TargetMode="External"/><Relationship Id="rId393" Type="http://schemas.openxmlformats.org/officeDocument/2006/relationships/hyperlink" Target="https://fehidro.saisp.br/cgi-bin/fehpublico.exe/ficha?id_contrato=10062" TargetMode="External"/><Relationship Id="rId407" Type="http://schemas.openxmlformats.org/officeDocument/2006/relationships/hyperlink" Target="https://fehidro.saisp.br/cgi-bin/fehpublico.exe/ficha?id_contrato=10039" TargetMode="External"/><Relationship Id="rId449" Type="http://schemas.openxmlformats.org/officeDocument/2006/relationships/hyperlink" Target="https://fehidro.saisp.br/cgi-bin/fehpublico.exe/ficha?id_contrato=10211" TargetMode="External"/><Relationship Id="rId614" Type="http://schemas.openxmlformats.org/officeDocument/2006/relationships/hyperlink" Target="https://fehidro.saisp.br/cgi-bin/fehpublico.exe/ficha?id_contrato=10633" TargetMode="External"/><Relationship Id="rId656" Type="http://schemas.openxmlformats.org/officeDocument/2006/relationships/hyperlink" Target="https://fehidro.saisp.br/cgi-bin/fehpublico.exe/ficha?id_contrato=10589" TargetMode="External"/><Relationship Id="rId211" Type="http://schemas.openxmlformats.org/officeDocument/2006/relationships/hyperlink" Target="https://fehidro.saisp.br/cgi-bin/fehpublico.exe/ficha?id_contrato=10044" TargetMode="External"/><Relationship Id="rId253" Type="http://schemas.openxmlformats.org/officeDocument/2006/relationships/hyperlink" Target="https://fehidro.saisp.br/cgi-bin/fehpublico.exe/ficha?id_contrato=10210" TargetMode="External"/><Relationship Id="rId295" Type="http://schemas.openxmlformats.org/officeDocument/2006/relationships/hyperlink" Target="https://fehidro.saisp.br/cgi-bin/fehpublico.exe/ficha?id_contrato=10295" TargetMode="External"/><Relationship Id="rId309" Type="http://schemas.openxmlformats.org/officeDocument/2006/relationships/hyperlink" Target="https://fehidro.saisp.br/cgi-bin/fehpublico.exe/ficha?id_contrato=10037" TargetMode="External"/><Relationship Id="rId460" Type="http://schemas.openxmlformats.org/officeDocument/2006/relationships/hyperlink" Target="https://fehidro.saisp.br/cgi-bin/fehpublico.exe/ficha?id_contrato=10493" TargetMode="External"/><Relationship Id="rId516" Type="http://schemas.openxmlformats.org/officeDocument/2006/relationships/hyperlink" Target="https://fehidro.saisp.br/cgi-bin/fehpublico.exe/ficha?id_contrato=10650" TargetMode="External"/><Relationship Id="rId698" Type="http://schemas.openxmlformats.org/officeDocument/2006/relationships/hyperlink" Target="https://fehidro.saisp.br/cgi-bin/fehpublico.exe/ficha?id_contrato=10532" TargetMode="External"/><Relationship Id="rId48" Type="http://schemas.openxmlformats.org/officeDocument/2006/relationships/hyperlink" Target="https://fehidro.saisp.br/cgi-bin/fehpublico.exe/ficha?id_contrato=10032" TargetMode="External"/><Relationship Id="rId113" Type="http://schemas.openxmlformats.org/officeDocument/2006/relationships/hyperlink" Target="https://fehidro.saisp.br/cgi-bin/fehpublico.exe/ficha?id_contrato=9906" TargetMode="External"/><Relationship Id="rId320" Type="http://schemas.openxmlformats.org/officeDocument/2006/relationships/hyperlink" Target="https://fehidro.saisp.br/cgi-bin/fehpublico.exe/ficha?id_contrato=10089" TargetMode="External"/><Relationship Id="rId558" Type="http://schemas.openxmlformats.org/officeDocument/2006/relationships/hyperlink" Target="https://fehidro.saisp.br/cgi-bin/fehpublico.exe/ficha?id_contrato=10518" TargetMode="External"/><Relationship Id="rId155" Type="http://schemas.openxmlformats.org/officeDocument/2006/relationships/hyperlink" Target="https://fehidro.saisp.br/cgi-bin/fehpublico.exe/ficha?id_contrato=10319" TargetMode="External"/><Relationship Id="rId197" Type="http://schemas.openxmlformats.org/officeDocument/2006/relationships/hyperlink" Target="https://fehidro.saisp.br/cgi-bin/fehpublico.exe/ficha?id_contrato=10075" TargetMode="External"/><Relationship Id="rId362" Type="http://schemas.openxmlformats.org/officeDocument/2006/relationships/hyperlink" Target="https://fehidro.saisp.br/cgi-bin/fehpublico.exe/ficha?id_contrato=9981" TargetMode="External"/><Relationship Id="rId418" Type="http://schemas.openxmlformats.org/officeDocument/2006/relationships/hyperlink" Target="https://fehidro.saisp.br/cgi-bin/fehpublico.exe/ficha?id_contrato=10287" TargetMode="External"/><Relationship Id="rId625" Type="http://schemas.openxmlformats.org/officeDocument/2006/relationships/hyperlink" Target="https://fehidro.saisp.br/cgi-bin/fehpublico.exe/ficha?id_contrato=10742" TargetMode="External"/><Relationship Id="rId222" Type="http://schemas.openxmlformats.org/officeDocument/2006/relationships/hyperlink" Target="https://fehidro.saisp.br/cgi-bin/fehpublico.exe/ficha?id_contrato=10365" TargetMode="External"/><Relationship Id="rId264" Type="http://schemas.openxmlformats.org/officeDocument/2006/relationships/hyperlink" Target="https://fehidro.saisp.br/cgi-bin/fehpublico.exe/ficha?id_contrato=10181" TargetMode="External"/><Relationship Id="rId471" Type="http://schemas.openxmlformats.org/officeDocument/2006/relationships/hyperlink" Target="https://fehidro.saisp.br/cgi-bin/fehpublico.exe/ficha?id_contrato=10697" TargetMode="External"/><Relationship Id="rId667" Type="http://schemas.openxmlformats.org/officeDocument/2006/relationships/hyperlink" Target="https://fehidro.saisp.br/cgi-bin/fehpublico.exe/ficha?id_contrato=10660" TargetMode="External"/><Relationship Id="rId17" Type="http://schemas.openxmlformats.org/officeDocument/2006/relationships/hyperlink" Target="https://fehidro.saisp.br/cgi-bin/fehpublico.exe/ficha?id_contrato=9957" TargetMode="External"/><Relationship Id="rId59" Type="http://schemas.openxmlformats.org/officeDocument/2006/relationships/hyperlink" Target="https://fehidro.saisp.br/cgi-bin/fehpublico.exe/ficha?id_contrato=10100" TargetMode="External"/><Relationship Id="rId124" Type="http://schemas.openxmlformats.org/officeDocument/2006/relationships/hyperlink" Target="https://fehidro.saisp.br/cgi-bin/fehpublico.exe/ficha?id_contrato=9951" TargetMode="External"/><Relationship Id="rId527" Type="http://schemas.openxmlformats.org/officeDocument/2006/relationships/hyperlink" Target="https://fehidro.saisp.br/cgi-bin/fehpublico.exe/ficha?id_contrato=10714" TargetMode="External"/><Relationship Id="rId569" Type="http://schemas.openxmlformats.org/officeDocument/2006/relationships/hyperlink" Target="https://fehidro.saisp.br/cgi-bin/fehpublico.exe/ficha?id_contrato=10598" TargetMode="External"/><Relationship Id="rId70" Type="http://schemas.openxmlformats.org/officeDocument/2006/relationships/hyperlink" Target="https://fehidro.saisp.br/cgi-bin/fehpublico.exe/ficha?id_contrato=10215" TargetMode="External"/><Relationship Id="rId166" Type="http://schemas.openxmlformats.org/officeDocument/2006/relationships/hyperlink" Target="https://fehidro.saisp.br/cgi-bin/fehpublico.exe/ficha?id_contrato=9985" TargetMode="External"/><Relationship Id="rId331" Type="http://schemas.openxmlformats.org/officeDocument/2006/relationships/hyperlink" Target="https://fehidro.saisp.br/cgi-bin/fehpublico.exe/ficha?id_contrato=10377" TargetMode="External"/><Relationship Id="rId373" Type="http://schemas.openxmlformats.org/officeDocument/2006/relationships/hyperlink" Target="https://fehidro.saisp.br/cgi-bin/fehpublico.exe/ficha?id_contrato=10321" TargetMode="External"/><Relationship Id="rId429" Type="http://schemas.openxmlformats.org/officeDocument/2006/relationships/hyperlink" Target="https://fehidro.saisp.br/cgi-bin/fehpublico.exe/ficha?id_contrato=10005" TargetMode="External"/><Relationship Id="rId580" Type="http://schemas.openxmlformats.org/officeDocument/2006/relationships/hyperlink" Target="https://fehidro.saisp.br/cgi-bin/fehpublico.exe/ficha?id_contrato=10562" TargetMode="External"/><Relationship Id="rId636" Type="http://schemas.openxmlformats.org/officeDocument/2006/relationships/hyperlink" Target="https://fehidro.saisp.br/cgi-bin/fehpublico.exe/ficha?id_contrato=10753" TargetMode="External"/><Relationship Id="rId1" Type="http://schemas.openxmlformats.org/officeDocument/2006/relationships/hyperlink" Target="https://fehidro.saisp.br/cgi-bin/fehpublico.exe/ficha?id_contrato=10160" TargetMode="External"/><Relationship Id="rId233" Type="http://schemas.openxmlformats.org/officeDocument/2006/relationships/hyperlink" Target="https://fehidro.saisp.br/cgi-bin/fehpublico.exe/ficha?id_contrato=10093" TargetMode="External"/><Relationship Id="rId440" Type="http://schemas.openxmlformats.org/officeDocument/2006/relationships/hyperlink" Target="https://fehidro.saisp.br/cgi-bin/fehpublico.exe/ficha?id_contrato=10356" TargetMode="External"/><Relationship Id="rId678" Type="http://schemas.openxmlformats.org/officeDocument/2006/relationships/hyperlink" Target="https://fehidro.saisp.br/cgi-bin/fehpublico.exe/ficha?id_contrato=10664" TargetMode="External"/><Relationship Id="rId28" Type="http://schemas.openxmlformats.org/officeDocument/2006/relationships/hyperlink" Target="https://fehidro.saisp.br/cgi-bin/fehpublico.exe/ficha?id_contrato=10372" TargetMode="External"/><Relationship Id="rId275" Type="http://schemas.openxmlformats.org/officeDocument/2006/relationships/hyperlink" Target="https://fehidro.saisp.br/cgi-bin/fehpublico.exe/ficha?id_contrato=10459" TargetMode="External"/><Relationship Id="rId300" Type="http://schemas.openxmlformats.org/officeDocument/2006/relationships/hyperlink" Target="https://fehidro.saisp.br/cgi-bin/fehpublico.exe/ficha?id_contrato=10083" TargetMode="External"/><Relationship Id="rId482" Type="http://schemas.openxmlformats.org/officeDocument/2006/relationships/hyperlink" Target="https://fehidro.saisp.br/cgi-bin/fehpublico.exe/ficha?id_contrato=10698" TargetMode="External"/><Relationship Id="rId538" Type="http://schemas.openxmlformats.org/officeDocument/2006/relationships/hyperlink" Target="https://fehidro.saisp.br/cgi-bin/fehpublico.exe/ficha?id_contrato=10732" TargetMode="External"/><Relationship Id="rId703" Type="http://schemas.openxmlformats.org/officeDocument/2006/relationships/table" Target="../tables/table4.xml"/><Relationship Id="rId81" Type="http://schemas.openxmlformats.org/officeDocument/2006/relationships/hyperlink" Target="https://fehidro.saisp.br/cgi-bin/fehpublico.exe/ficha?id_contrato=10198" TargetMode="External"/><Relationship Id="rId135" Type="http://schemas.openxmlformats.org/officeDocument/2006/relationships/hyperlink" Target="https://fehidro.saisp.br/cgi-bin/fehpublico.exe/ficha?id_contrato=9952" TargetMode="External"/><Relationship Id="rId177" Type="http://schemas.openxmlformats.org/officeDocument/2006/relationships/hyperlink" Target="https://fehidro.saisp.br/cgi-bin/fehpublico.exe/ficha?id_contrato=10023" TargetMode="External"/><Relationship Id="rId342" Type="http://schemas.openxmlformats.org/officeDocument/2006/relationships/hyperlink" Target="https://fehidro.saisp.br/cgi-bin/fehpublico.exe/ficha?id_contrato=9935" TargetMode="External"/><Relationship Id="rId384" Type="http://schemas.openxmlformats.org/officeDocument/2006/relationships/hyperlink" Target="https://fehidro.saisp.br/cgi-bin/fehpublico.exe/ficha?id_contrato=10055" TargetMode="External"/><Relationship Id="rId591" Type="http://schemas.openxmlformats.org/officeDocument/2006/relationships/hyperlink" Target="https://fehidro.saisp.br/cgi-bin/fehpublico.exe/ficha?id_contrato=10601" TargetMode="External"/><Relationship Id="rId605" Type="http://schemas.openxmlformats.org/officeDocument/2006/relationships/hyperlink" Target="https://fehidro.saisp.br/cgi-bin/fehpublico.exe/ficha?id_contrato=10608" TargetMode="External"/><Relationship Id="rId202" Type="http://schemas.openxmlformats.org/officeDocument/2006/relationships/hyperlink" Target="https://fehidro.saisp.br/cgi-bin/fehpublico.exe/ficha?id_contrato=10073" TargetMode="External"/><Relationship Id="rId244" Type="http://schemas.openxmlformats.org/officeDocument/2006/relationships/hyperlink" Target="https://fehidro.saisp.br/cgi-bin/fehpublico.exe/ficha?id_contrato=10230" TargetMode="External"/><Relationship Id="rId647" Type="http://schemas.openxmlformats.org/officeDocument/2006/relationships/hyperlink" Target="https://fehidro.saisp.br/cgi-bin/fehpublico.exe/ficha?id_contrato=10768" TargetMode="External"/><Relationship Id="rId689" Type="http://schemas.openxmlformats.org/officeDocument/2006/relationships/hyperlink" Target="https://fehidro.saisp.br/cgi-bin/fehpublico.exe/ficha?id_contrato=10571" TargetMode="External"/><Relationship Id="rId39" Type="http://schemas.openxmlformats.org/officeDocument/2006/relationships/hyperlink" Target="https://fehidro.saisp.br/cgi-bin/fehpublico.exe/ficha?id_contrato=10433" TargetMode="External"/><Relationship Id="rId286" Type="http://schemas.openxmlformats.org/officeDocument/2006/relationships/hyperlink" Target="https://fehidro.saisp.br/cgi-bin/fehpublico.exe/ficha?id_contrato=10446" TargetMode="External"/><Relationship Id="rId451" Type="http://schemas.openxmlformats.org/officeDocument/2006/relationships/hyperlink" Target="https://fehidro.saisp.br/cgi-bin/fehpublico.exe/ficha?id_contrato=10217" TargetMode="External"/><Relationship Id="rId493" Type="http://schemas.openxmlformats.org/officeDocument/2006/relationships/hyperlink" Target="https://fehidro.saisp.br/cgi-bin/fehpublico.exe/ficha?id_contrato=10755" TargetMode="External"/><Relationship Id="rId507" Type="http://schemas.openxmlformats.org/officeDocument/2006/relationships/hyperlink" Target="https://fehidro.saisp.br/cgi-bin/fehpublico.exe/ficha?id_contrato=10665" TargetMode="External"/><Relationship Id="rId549" Type="http://schemas.openxmlformats.org/officeDocument/2006/relationships/hyperlink" Target="https://fehidro.saisp.br/cgi-bin/fehpublico.exe/ficha?id_contrato=10512" TargetMode="External"/><Relationship Id="rId50" Type="http://schemas.openxmlformats.org/officeDocument/2006/relationships/hyperlink" Target="https://fehidro.saisp.br/cgi-bin/fehpublico.exe/ficha?id_contrato=10186" TargetMode="External"/><Relationship Id="rId104" Type="http://schemas.openxmlformats.org/officeDocument/2006/relationships/hyperlink" Target="https://fehidro.saisp.br/cgi-bin/fehpublico.exe/ficha?id_contrato=10452" TargetMode="External"/><Relationship Id="rId146" Type="http://schemas.openxmlformats.org/officeDocument/2006/relationships/hyperlink" Target="https://fehidro.saisp.br/cgi-bin/fehpublico.exe/ficha?id_contrato=10249" TargetMode="External"/><Relationship Id="rId188" Type="http://schemas.openxmlformats.org/officeDocument/2006/relationships/hyperlink" Target="https://fehidro.saisp.br/cgi-bin/fehpublico.exe/ficha?id_contrato=10104" TargetMode="External"/><Relationship Id="rId311" Type="http://schemas.openxmlformats.org/officeDocument/2006/relationships/hyperlink" Target="https://fehidro.saisp.br/cgi-bin/fehpublico.exe/ficha?id_contrato=10028" TargetMode="External"/><Relationship Id="rId353" Type="http://schemas.openxmlformats.org/officeDocument/2006/relationships/hyperlink" Target="https://fehidro.saisp.br/cgi-bin/fehpublico.exe/ficha?id_contrato=10409" TargetMode="External"/><Relationship Id="rId395" Type="http://schemas.openxmlformats.org/officeDocument/2006/relationships/hyperlink" Target="https://fehidro.saisp.br/cgi-bin/fehpublico.exe/ficha?id_contrato=10339" TargetMode="External"/><Relationship Id="rId409" Type="http://schemas.openxmlformats.org/officeDocument/2006/relationships/hyperlink" Target="https://fehidro.saisp.br/cgi-bin/fehpublico.exe/ficha?id_contrato=10009" TargetMode="External"/><Relationship Id="rId560" Type="http://schemas.openxmlformats.org/officeDocument/2006/relationships/hyperlink" Target="https://fehidro.saisp.br/cgi-bin/fehpublico.exe/ficha?id_contrato=10541" TargetMode="External"/><Relationship Id="rId92" Type="http://schemas.openxmlformats.org/officeDocument/2006/relationships/hyperlink" Target="https://fehidro.saisp.br/cgi-bin/fehpublico.exe/ficha?id_contrato=10173" TargetMode="External"/><Relationship Id="rId213" Type="http://schemas.openxmlformats.org/officeDocument/2006/relationships/hyperlink" Target="https://fehidro.saisp.br/cgi-bin/fehpublico.exe/ficha?id_contrato=10406" TargetMode="External"/><Relationship Id="rId420" Type="http://schemas.openxmlformats.org/officeDocument/2006/relationships/hyperlink" Target="https://fehidro.saisp.br/cgi-bin/fehpublico.exe/ficha?id_contrato=10114" TargetMode="External"/><Relationship Id="rId616" Type="http://schemas.openxmlformats.org/officeDocument/2006/relationships/hyperlink" Target="https://fehidro.saisp.br/cgi-bin/fehpublico.exe/ficha?id_contrato=10636" TargetMode="External"/><Relationship Id="rId658" Type="http://schemas.openxmlformats.org/officeDocument/2006/relationships/hyperlink" Target="https://fehidro.saisp.br/cgi-bin/fehpublico.exe/ficha?id_contrato=10527" TargetMode="External"/><Relationship Id="rId255" Type="http://schemas.openxmlformats.org/officeDocument/2006/relationships/hyperlink" Target="https://fehidro.saisp.br/cgi-bin/fehpublico.exe/ficha?id_contrato=10163" TargetMode="External"/><Relationship Id="rId297" Type="http://schemas.openxmlformats.org/officeDocument/2006/relationships/hyperlink" Target="https://fehidro.saisp.br/cgi-bin/fehpublico.exe/ficha?id_contrato=10306" TargetMode="External"/><Relationship Id="rId462" Type="http://schemas.openxmlformats.org/officeDocument/2006/relationships/hyperlink" Target="https://fehidro.saisp.br/cgi-bin/fehpublico.exe/ficha?id_contrato=10501" TargetMode="External"/><Relationship Id="rId518" Type="http://schemas.openxmlformats.org/officeDocument/2006/relationships/hyperlink" Target="https://fehidro.saisp.br/cgi-bin/fehpublico.exe/ficha?id_contrato=10658" TargetMode="External"/><Relationship Id="rId115" Type="http://schemas.openxmlformats.org/officeDocument/2006/relationships/hyperlink" Target="https://fehidro.saisp.br/cgi-bin/fehpublico.exe/ficha?id_contrato=10315" TargetMode="External"/><Relationship Id="rId157" Type="http://schemas.openxmlformats.org/officeDocument/2006/relationships/hyperlink" Target="https://fehidro.saisp.br/cgi-bin/fehpublico.exe/ficha?id_contrato=10149" TargetMode="External"/><Relationship Id="rId322" Type="http://schemas.openxmlformats.org/officeDocument/2006/relationships/hyperlink" Target="https://fehidro.saisp.br/cgi-bin/fehpublico.exe/ficha?id_contrato=10314" TargetMode="External"/><Relationship Id="rId364" Type="http://schemas.openxmlformats.org/officeDocument/2006/relationships/hyperlink" Target="https://fehidro.saisp.br/cgi-bin/fehpublico.exe/ficha?id_contrato=10041" TargetMode="External"/><Relationship Id="rId61" Type="http://schemas.openxmlformats.org/officeDocument/2006/relationships/hyperlink" Target="https://fehidro.saisp.br/cgi-bin/fehpublico.exe/ficha?id_contrato=10327" TargetMode="External"/><Relationship Id="rId199" Type="http://schemas.openxmlformats.org/officeDocument/2006/relationships/hyperlink" Target="https://fehidro.saisp.br/cgi-bin/fehpublico.exe/ficha?id_contrato=10059" TargetMode="External"/><Relationship Id="rId571" Type="http://schemas.openxmlformats.org/officeDocument/2006/relationships/hyperlink" Target="https://fehidro.saisp.br/cgi-bin/fehpublico.exe/ficha?id_contrato=10600" TargetMode="External"/><Relationship Id="rId627" Type="http://schemas.openxmlformats.org/officeDocument/2006/relationships/hyperlink" Target="https://fehidro.saisp.br/cgi-bin/fehpublico.exe/ficha?id_contrato=10744" TargetMode="External"/><Relationship Id="rId669" Type="http://schemas.openxmlformats.org/officeDocument/2006/relationships/hyperlink" Target="https://fehidro.saisp.br/cgi-bin/fehpublico.exe/ficha?id_contrato=10504" TargetMode="External"/><Relationship Id="rId19" Type="http://schemas.openxmlformats.org/officeDocument/2006/relationships/hyperlink" Target="https://fehidro.saisp.br/cgi-bin/fehpublico.exe/ficha?id_contrato=10222" TargetMode="External"/><Relationship Id="rId224" Type="http://schemas.openxmlformats.org/officeDocument/2006/relationships/hyperlink" Target="https://fehidro.saisp.br/cgi-bin/fehpublico.exe/ficha?id_contrato=10478" TargetMode="External"/><Relationship Id="rId266" Type="http://schemas.openxmlformats.org/officeDocument/2006/relationships/hyperlink" Target="https://fehidro.saisp.br/cgi-bin/fehpublico.exe/ficha?id_contrato=10473" TargetMode="External"/><Relationship Id="rId431" Type="http://schemas.openxmlformats.org/officeDocument/2006/relationships/hyperlink" Target="https://fehidro.saisp.br/cgi-bin/fehpublico.exe/ficha?id_contrato=10481" TargetMode="External"/><Relationship Id="rId473" Type="http://schemas.openxmlformats.org/officeDocument/2006/relationships/hyperlink" Target="https://fehidro.saisp.br/cgi-bin/fehpublico.exe/ficha?id_contrato=10704" TargetMode="External"/><Relationship Id="rId529" Type="http://schemas.openxmlformats.org/officeDocument/2006/relationships/hyperlink" Target="https://fehidro.saisp.br/cgi-bin/fehpublico.exe/ficha?id_contrato=10721" TargetMode="External"/><Relationship Id="rId680" Type="http://schemas.openxmlformats.org/officeDocument/2006/relationships/hyperlink" Target="https://fehidro.saisp.br/cgi-bin/fehpublico.exe/ficha?id_contrato=10507" TargetMode="External"/><Relationship Id="rId30" Type="http://schemas.openxmlformats.org/officeDocument/2006/relationships/hyperlink" Target="https://fehidro.saisp.br/cgi-bin/fehpublico.exe/ficha?id_contrato=10414" TargetMode="External"/><Relationship Id="rId126" Type="http://schemas.openxmlformats.org/officeDocument/2006/relationships/hyperlink" Target="https://fehidro.saisp.br/cgi-bin/fehpublico.exe/ficha?id_contrato=9946" TargetMode="External"/><Relationship Id="rId168" Type="http://schemas.openxmlformats.org/officeDocument/2006/relationships/hyperlink" Target="https://fehidro.saisp.br/cgi-bin/fehpublico.exe/ficha?id_contrato=10268" TargetMode="External"/><Relationship Id="rId333" Type="http://schemas.openxmlformats.org/officeDocument/2006/relationships/hyperlink" Target="https://fehidro.saisp.br/cgi-bin/fehpublico.exe/ficha?id_contrato=9945" TargetMode="External"/><Relationship Id="rId540" Type="http://schemas.openxmlformats.org/officeDocument/2006/relationships/hyperlink" Target="https://fehidro.saisp.br/cgi-bin/fehpublico.exe/ficha?id_contrato=10548" TargetMode="External"/><Relationship Id="rId72" Type="http://schemas.openxmlformats.org/officeDocument/2006/relationships/hyperlink" Target="https://fehidro.saisp.br/cgi-bin/fehpublico.exe/ficha?id_contrato=10134" TargetMode="External"/><Relationship Id="rId375" Type="http://schemas.openxmlformats.org/officeDocument/2006/relationships/hyperlink" Target="https://fehidro.saisp.br/cgi-bin/fehpublico.exe/ficha?id_contrato=10120" TargetMode="External"/><Relationship Id="rId582" Type="http://schemas.openxmlformats.org/officeDocument/2006/relationships/hyperlink" Target="https://fehidro.saisp.br/cgi-bin/fehpublico.exe/ficha?id_contrato=10591" TargetMode="External"/><Relationship Id="rId638" Type="http://schemas.openxmlformats.org/officeDocument/2006/relationships/hyperlink" Target="https://fehidro.saisp.br/cgi-bin/fehpublico.exe/ficha?id_contrato=10572" TargetMode="External"/><Relationship Id="rId3" Type="http://schemas.openxmlformats.org/officeDocument/2006/relationships/hyperlink" Target="https://fehidro.saisp.br/cgi-bin/fehpublico.exe/ficha?id_contrato=10218" TargetMode="External"/><Relationship Id="rId235" Type="http://schemas.openxmlformats.org/officeDocument/2006/relationships/hyperlink" Target="https://fehidro.saisp.br/cgi-bin/fehpublico.exe/ficha?id_contrato=10325" TargetMode="External"/><Relationship Id="rId277" Type="http://schemas.openxmlformats.org/officeDocument/2006/relationships/hyperlink" Target="https://fehidro.saisp.br/cgi-bin/fehpublico.exe/ficha?id_contrato=10467" TargetMode="External"/><Relationship Id="rId400" Type="http://schemas.openxmlformats.org/officeDocument/2006/relationships/hyperlink" Target="https://fehidro.saisp.br/cgi-bin/fehpublico.exe/ficha?id_contrato=10340" TargetMode="External"/><Relationship Id="rId442" Type="http://schemas.openxmlformats.org/officeDocument/2006/relationships/hyperlink" Target="https://fehidro.saisp.br/cgi-bin/fehpublico.exe/ficha?id_contrato=10231" TargetMode="External"/><Relationship Id="rId484" Type="http://schemas.openxmlformats.org/officeDocument/2006/relationships/hyperlink" Target="https://fehidro.saisp.br/cgi-bin/fehpublico.exe/ficha?id_contrato=10708" TargetMode="External"/><Relationship Id="rId705" Type="http://schemas.microsoft.com/office/2017/10/relationships/threadedComment" Target="../threadedComments/threadedComment6.xml"/><Relationship Id="rId137" Type="http://schemas.openxmlformats.org/officeDocument/2006/relationships/hyperlink" Target="https://fehidro.saisp.br/cgi-bin/fehpublico.exe/ficha?id_contrato=9938" TargetMode="External"/><Relationship Id="rId302" Type="http://schemas.openxmlformats.org/officeDocument/2006/relationships/hyperlink" Target="https://fehidro.saisp.br/cgi-bin/fehpublico.exe/ficha?id_contrato=10441" TargetMode="External"/><Relationship Id="rId344" Type="http://schemas.openxmlformats.org/officeDocument/2006/relationships/hyperlink" Target="https://fehidro.saisp.br/cgi-bin/fehpublico.exe/ficha?id_contrato=9934" TargetMode="External"/><Relationship Id="rId691" Type="http://schemas.openxmlformats.org/officeDocument/2006/relationships/hyperlink" Target="https://fehidro.saisp.br/cgi-bin/fehpublico.exe/ficha?id_contrato=10577" TargetMode="External"/><Relationship Id="rId41" Type="http://schemas.openxmlformats.org/officeDocument/2006/relationships/hyperlink" Target="https://fehidro.saisp.br/cgi-bin/fehpublico.exe/ficha?id_contrato=10281" TargetMode="External"/><Relationship Id="rId83" Type="http://schemas.openxmlformats.org/officeDocument/2006/relationships/hyperlink" Target="https://fehidro.saisp.br/cgi-bin/fehpublico.exe/ficha?id_contrato=10161" TargetMode="External"/><Relationship Id="rId179" Type="http://schemas.openxmlformats.org/officeDocument/2006/relationships/hyperlink" Target="https://fehidro.saisp.br/cgi-bin/fehpublico.exe/ficha?id_contrato=10022" TargetMode="External"/><Relationship Id="rId386" Type="http://schemas.openxmlformats.org/officeDocument/2006/relationships/hyperlink" Target="https://fehidro.saisp.br/cgi-bin/fehpublico.exe/ficha?id_contrato=10069" TargetMode="External"/><Relationship Id="rId551" Type="http://schemas.openxmlformats.org/officeDocument/2006/relationships/hyperlink" Target="https://fehidro.saisp.br/cgi-bin/fehpublico.exe/ficha?id_contrato=10510" TargetMode="External"/><Relationship Id="rId593" Type="http://schemas.openxmlformats.org/officeDocument/2006/relationships/hyperlink" Target="https://fehidro.saisp.br/cgi-bin/fehpublico.exe/ficha?id_contrato=10573" TargetMode="External"/><Relationship Id="rId607" Type="http://schemas.openxmlformats.org/officeDocument/2006/relationships/hyperlink" Target="https://fehidro.saisp.br/cgi-bin/fehpublico.exe/ficha?id_contrato=10610" TargetMode="External"/><Relationship Id="rId649" Type="http://schemas.openxmlformats.org/officeDocument/2006/relationships/hyperlink" Target="https://fehidro.saisp.br/cgi-bin/fehpublico.exe/ficha?id_contrato=10767" TargetMode="External"/><Relationship Id="rId190" Type="http://schemas.openxmlformats.org/officeDocument/2006/relationships/hyperlink" Target="https://fehidro.saisp.br/cgi-bin/fehpublico.exe/ficha?id_contrato=10084" TargetMode="External"/><Relationship Id="rId204" Type="http://schemas.openxmlformats.org/officeDocument/2006/relationships/hyperlink" Target="https://fehidro.saisp.br/cgi-bin/fehpublico.exe/ficha?id_contrato=10350" TargetMode="External"/><Relationship Id="rId246" Type="http://schemas.openxmlformats.org/officeDocument/2006/relationships/hyperlink" Target="https://fehidro.saisp.br/cgi-bin/fehpublico.exe/ficha?id_contrato=10359" TargetMode="External"/><Relationship Id="rId288" Type="http://schemas.openxmlformats.org/officeDocument/2006/relationships/hyperlink" Target="https://fehidro.saisp.br/cgi-bin/fehpublico.exe/ficha?id_contrato=10113" TargetMode="External"/><Relationship Id="rId411" Type="http://schemas.openxmlformats.org/officeDocument/2006/relationships/hyperlink" Target="https://fehidro.saisp.br/cgi-bin/fehpublico.exe/ficha?id_contrato=10364" TargetMode="External"/><Relationship Id="rId453" Type="http://schemas.openxmlformats.org/officeDocument/2006/relationships/hyperlink" Target="https://fehidro.saisp.br/cgi-bin/fehpublico.exe/ficha?id_contrato=10673" TargetMode="External"/><Relationship Id="rId509" Type="http://schemas.openxmlformats.org/officeDocument/2006/relationships/hyperlink" Target="https://fehidro.saisp.br/cgi-bin/fehpublico.exe/ficha?id_contrato=10669" TargetMode="External"/><Relationship Id="rId660" Type="http://schemas.openxmlformats.org/officeDocument/2006/relationships/hyperlink" Target="https://fehidro.saisp.br/cgi-bin/fehpublico.exe/ficha?id_contrato=10620" TargetMode="External"/><Relationship Id="rId106" Type="http://schemas.openxmlformats.org/officeDocument/2006/relationships/hyperlink" Target="https://fehidro.saisp.br/cgi-bin/fehpublico.exe/ficha?id_contrato=10077" TargetMode="External"/><Relationship Id="rId313" Type="http://schemas.openxmlformats.org/officeDocument/2006/relationships/hyperlink" Target="https://fehidro.saisp.br/cgi-bin/fehpublico.exe/ficha?id_contrato=10458" TargetMode="External"/><Relationship Id="rId495" Type="http://schemas.openxmlformats.org/officeDocument/2006/relationships/hyperlink" Target="https://fehidro.saisp.br/cgi-bin/fehpublico.exe/ficha?id_contrato=10757" TargetMode="External"/><Relationship Id="rId10" Type="http://schemas.openxmlformats.org/officeDocument/2006/relationships/hyperlink" Target="https://fehidro.saisp.br/cgi-bin/fehpublico.exe/ficha?id_contrato=10466" TargetMode="External"/><Relationship Id="rId52" Type="http://schemas.openxmlformats.org/officeDocument/2006/relationships/hyperlink" Target="https://fehidro.saisp.br/cgi-bin/fehpublico.exe/ficha?id_contrato=10189" TargetMode="External"/><Relationship Id="rId94" Type="http://schemas.openxmlformats.org/officeDocument/2006/relationships/hyperlink" Target="https://fehidro.saisp.br/cgi-bin/fehpublico.exe/ficha?id_contrato=10172" TargetMode="External"/><Relationship Id="rId148" Type="http://schemas.openxmlformats.org/officeDocument/2006/relationships/hyperlink" Target="https://fehidro.saisp.br/cgi-bin/fehpublico.exe/ficha?id_contrato=9956" TargetMode="External"/><Relationship Id="rId355" Type="http://schemas.openxmlformats.org/officeDocument/2006/relationships/hyperlink" Target="https://fehidro.saisp.br/cgi-bin/fehpublico.exe/ficha?id_contrato=9980" TargetMode="External"/><Relationship Id="rId397" Type="http://schemas.openxmlformats.org/officeDocument/2006/relationships/hyperlink" Target="https://fehidro.saisp.br/cgi-bin/fehpublico.exe/ficha?id_contrato=10067" TargetMode="External"/><Relationship Id="rId520" Type="http://schemas.openxmlformats.org/officeDocument/2006/relationships/hyperlink" Target="https://fehidro.saisp.br/cgi-bin/fehpublico.exe/ficha?id_contrato=10661" TargetMode="External"/><Relationship Id="rId562" Type="http://schemas.openxmlformats.org/officeDocument/2006/relationships/hyperlink" Target="https://fehidro.saisp.br/cgi-bin/fehpublico.exe/ficha?id_contrato=10517" TargetMode="External"/><Relationship Id="rId618" Type="http://schemas.openxmlformats.org/officeDocument/2006/relationships/hyperlink" Target="https://fehidro.saisp.br/cgi-bin/fehpublico.exe/ficha?id_contrato=10723" TargetMode="External"/><Relationship Id="rId215" Type="http://schemas.openxmlformats.org/officeDocument/2006/relationships/hyperlink" Target="https://fehidro.saisp.br/cgi-bin/fehpublico.exe/ficha?id_contrato=10405" TargetMode="External"/><Relationship Id="rId257" Type="http://schemas.openxmlformats.org/officeDocument/2006/relationships/hyperlink" Target="https://fehidro.saisp.br/cgi-bin/fehpublico.exe/ficha?id_contrato=10169" TargetMode="External"/><Relationship Id="rId422" Type="http://schemas.openxmlformats.org/officeDocument/2006/relationships/hyperlink" Target="https://fehidro.saisp.br/cgi-bin/fehpublico.exe/ficha?id_contrato=10182" TargetMode="External"/><Relationship Id="rId464" Type="http://schemas.openxmlformats.org/officeDocument/2006/relationships/hyperlink" Target="https://fehidro.saisp.br/cgi-bin/fehpublico.exe/ficha?id_contrato=10702" TargetMode="External"/><Relationship Id="rId299" Type="http://schemas.openxmlformats.org/officeDocument/2006/relationships/hyperlink" Target="https://fehidro.saisp.br/cgi-bin/fehpublico.exe/ficha?id_contrato=10296" TargetMode="External"/><Relationship Id="rId63" Type="http://schemas.openxmlformats.org/officeDocument/2006/relationships/hyperlink" Target="https://fehidro.saisp.br/cgi-bin/fehpublico.exe/ficha?id_contrato=10108" TargetMode="External"/><Relationship Id="rId159" Type="http://schemas.openxmlformats.org/officeDocument/2006/relationships/hyperlink" Target="https://fehidro.saisp.br/cgi-bin/fehpublico.exe/ficha?id_contrato=10150" TargetMode="External"/><Relationship Id="rId366" Type="http://schemas.openxmlformats.org/officeDocument/2006/relationships/hyperlink" Target="https://fehidro.saisp.br/cgi-bin/fehpublico.exe/ficha?id_contrato=10034" TargetMode="External"/><Relationship Id="rId573" Type="http://schemas.openxmlformats.org/officeDocument/2006/relationships/hyperlink" Target="https://fehidro.saisp.br/cgi-bin/fehpublico.exe/ficha?id_contrato=10700" TargetMode="External"/><Relationship Id="rId226" Type="http://schemas.openxmlformats.org/officeDocument/2006/relationships/hyperlink" Target="https://fehidro.saisp.br/cgi-bin/fehpublico.exe/ficha?id_contrato=9990" TargetMode="External"/><Relationship Id="rId433" Type="http://schemas.openxmlformats.org/officeDocument/2006/relationships/hyperlink" Target="https://fehidro.saisp.br/cgi-bin/fehpublico.exe/ficha?id_contrato=10276" TargetMode="External"/><Relationship Id="rId640" Type="http://schemas.openxmlformats.org/officeDocument/2006/relationships/hyperlink" Target="https://fehidro.saisp.br/cgi-bin/fehpublico.exe/ficha?id_contrato=10580" TargetMode="External"/><Relationship Id="rId74" Type="http://schemas.openxmlformats.org/officeDocument/2006/relationships/hyperlink" Target="https://fehidro.saisp.br/cgi-bin/fehpublico.exe/ficha?id_contrato=9918" TargetMode="External"/><Relationship Id="rId377" Type="http://schemas.openxmlformats.org/officeDocument/2006/relationships/hyperlink" Target="https://fehidro.saisp.br/cgi-bin/fehpublico.exe/ficha?id_contrato=10395" TargetMode="External"/><Relationship Id="rId500" Type="http://schemas.openxmlformats.org/officeDocument/2006/relationships/hyperlink" Target="https://fehidro.saisp.br/cgi-bin/fehpublico.exe/ficha?id_contrato=10718" TargetMode="External"/><Relationship Id="rId584" Type="http://schemas.openxmlformats.org/officeDocument/2006/relationships/hyperlink" Target="https://fehidro.saisp.br/cgi-bin/fehpublico.exe/ficha?id_contrato=10593" TargetMode="External"/><Relationship Id="rId5" Type="http://schemas.openxmlformats.org/officeDocument/2006/relationships/hyperlink" Target="https://fehidro.saisp.br/cgi-bin/fehpublico.exe/ficha?id_contrato=10036" TargetMode="External"/><Relationship Id="rId237" Type="http://schemas.openxmlformats.org/officeDocument/2006/relationships/hyperlink" Target="https://fehidro.saisp.br/cgi-bin/fehpublico.exe/ficha?id_contrato=10107" TargetMode="External"/><Relationship Id="rId444" Type="http://schemas.openxmlformats.org/officeDocument/2006/relationships/hyperlink" Target="https://fehidro.saisp.br/cgi-bin/fehpublico.exe/ficha?id_contrato=10207" TargetMode="External"/><Relationship Id="rId651" Type="http://schemas.openxmlformats.org/officeDocument/2006/relationships/hyperlink" Target="https://fehidro.saisp.br/cgi-bin/fehpublico.exe/ficha?id_contrato=10615" TargetMode="External"/><Relationship Id="rId290" Type="http://schemas.openxmlformats.org/officeDocument/2006/relationships/hyperlink" Target="https://fehidro.saisp.br/cgi-bin/fehpublico.exe/ficha?id_contrato=10079" TargetMode="External"/><Relationship Id="rId304" Type="http://schemas.openxmlformats.org/officeDocument/2006/relationships/hyperlink" Target="https://fehidro.saisp.br/cgi-bin/fehpublico.exe/ficha?id_contrato=10305" TargetMode="External"/><Relationship Id="rId388" Type="http://schemas.openxmlformats.org/officeDocument/2006/relationships/hyperlink" Target="https://fehidro.saisp.br/cgi-bin/fehpublico.exe/ficha?id_contrato=10072" TargetMode="External"/><Relationship Id="rId511" Type="http://schemas.openxmlformats.org/officeDocument/2006/relationships/hyperlink" Target="https://fehidro.saisp.br/cgi-bin/fehpublico.exe/ficha?id_contrato=10675" TargetMode="External"/><Relationship Id="rId609" Type="http://schemas.openxmlformats.org/officeDocument/2006/relationships/hyperlink" Target="https://fehidro.saisp.br/cgi-bin/fehpublico.exe/ficha?id_contrato=10759" TargetMode="External"/><Relationship Id="rId85" Type="http://schemas.openxmlformats.org/officeDocument/2006/relationships/hyperlink" Target="https://fehidro.saisp.br/cgi-bin/fehpublico.exe/ficha?id_contrato=10155" TargetMode="External"/><Relationship Id="rId150" Type="http://schemas.openxmlformats.org/officeDocument/2006/relationships/hyperlink" Target="https://fehidro.saisp.br/cgi-bin/fehpublico.exe/ficha?id_contrato=10425" TargetMode="External"/><Relationship Id="rId595" Type="http://schemas.openxmlformats.org/officeDocument/2006/relationships/hyperlink" Target="https://fehidro.saisp.br/cgi-bin/fehpublico.exe/ficha?id_contrato=10577" TargetMode="External"/><Relationship Id="rId248" Type="http://schemas.openxmlformats.org/officeDocument/2006/relationships/hyperlink" Target="https://fehidro.saisp.br/cgi-bin/fehpublico.exe/ficha?id_contrato=10227" TargetMode="External"/><Relationship Id="rId455" Type="http://schemas.openxmlformats.org/officeDocument/2006/relationships/hyperlink" Target="https://fehidro.saisp.br/cgi-bin/fehpublico.exe/ficha?id_contrato=10775" TargetMode="External"/><Relationship Id="rId662" Type="http://schemas.openxmlformats.org/officeDocument/2006/relationships/hyperlink" Target="https://fehidro.saisp.br/cgi-bin/fehpublico.exe/ficha?id_contrato=10623" TargetMode="External"/><Relationship Id="rId12" Type="http://schemas.openxmlformats.org/officeDocument/2006/relationships/hyperlink" Target="https://fehidro.saisp.br/cgi-bin/fehpublico.exe/ficha?id_contrato=9915" TargetMode="External"/><Relationship Id="rId108" Type="http://schemas.openxmlformats.org/officeDocument/2006/relationships/hyperlink" Target="https://fehidro.saisp.br/cgi-bin/fehpublico.exe/ficha?id_contrato=10024" TargetMode="External"/><Relationship Id="rId315" Type="http://schemas.openxmlformats.org/officeDocument/2006/relationships/hyperlink" Target="https://fehidro.saisp.br/cgi-bin/fehpublico.exe/ficha?id_contrato=10454" TargetMode="External"/><Relationship Id="rId522" Type="http://schemas.openxmlformats.org/officeDocument/2006/relationships/hyperlink" Target="https://fehidro.saisp.br/cgi-bin/fehpublico.exe/ficha?id_contrato=10771" TargetMode="External"/><Relationship Id="rId96" Type="http://schemas.openxmlformats.org/officeDocument/2006/relationships/hyperlink" Target="https://fehidro.saisp.br/cgi-bin/fehpublico.exe/ficha?id_contrato=10386" TargetMode="External"/><Relationship Id="rId161" Type="http://schemas.openxmlformats.org/officeDocument/2006/relationships/hyperlink" Target="https://fehidro.saisp.br/cgi-bin/fehpublico.exe/ficha?id_contrato=10410" TargetMode="External"/><Relationship Id="rId399" Type="http://schemas.openxmlformats.org/officeDocument/2006/relationships/hyperlink" Target="https://fehidro.saisp.br/cgi-bin/fehpublico.exe/ficha?id_contrato=10054" TargetMode="External"/><Relationship Id="rId259" Type="http://schemas.openxmlformats.org/officeDocument/2006/relationships/hyperlink" Target="https://fehidro.saisp.br/cgi-bin/fehpublico.exe/ficha?id_contrato=10158" TargetMode="External"/><Relationship Id="rId466" Type="http://schemas.openxmlformats.org/officeDocument/2006/relationships/hyperlink" Target="https://fehidro.saisp.br/cgi-bin/fehpublico.exe/ficha?id_contrato=10694" TargetMode="External"/><Relationship Id="rId673" Type="http://schemas.openxmlformats.org/officeDocument/2006/relationships/hyperlink" Target="https://fehidro.saisp.br/cgi-bin/fehpublico.exe/ficha?id_contrato=10736" TargetMode="External"/><Relationship Id="rId23" Type="http://schemas.openxmlformats.org/officeDocument/2006/relationships/hyperlink" Target="https://fehidro.saisp.br/cgi-bin/fehpublico.exe/ficha?id_contrato=10258" TargetMode="External"/><Relationship Id="rId119" Type="http://schemas.openxmlformats.org/officeDocument/2006/relationships/hyperlink" Target="https://fehidro.saisp.br/cgi-bin/fehpublico.exe/ficha?id_contrato=9913" TargetMode="External"/><Relationship Id="rId326" Type="http://schemas.openxmlformats.org/officeDocument/2006/relationships/hyperlink" Target="https://fehidro.saisp.br/cgi-bin/fehpublico.exe/ficha?id_contrato=9903" TargetMode="External"/><Relationship Id="rId533" Type="http://schemas.openxmlformats.org/officeDocument/2006/relationships/hyperlink" Target="https://fehidro.saisp.br/cgi-bin/fehpublico.exe/ficha?id_contrato=10727" TargetMode="External"/><Relationship Id="rId172" Type="http://schemas.openxmlformats.org/officeDocument/2006/relationships/hyperlink" Target="https://fehidro.saisp.br/cgi-bin/fehpublico.exe/ficha?id_contrato=10239" TargetMode="External"/><Relationship Id="rId477" Type="http://schemas.openxmlformats.org/officeDocument/2006/relationships/hyperlink" Target="https://fehidro.saisp.br/cgi-bin/fehpublico.exe/ficha?id_contrato=10707" TargetMode="External"/><Relationship Id="rId600" Type="http://schemas.openxmlformats.org/officeDocument/2006/relationships/hyperlink" Target="https://fehidro.saisp.br/cgi-bin/fehpublico.exe/ficha?id_contrato=10603" TargetMode="External"/><Relationship Id="rId684" Type="http://schemas.openxmlformats.org/officeDocument/2006/relationships/hyperlink" Target="https://fehidro.saisp.br/cgi-bin/fehpublico.exe/ficha?id_contrato=10543" TargetMode="External"/><Relationship Id="rId337" Type="http://schemas.openxmlformats.org/officeDocument/2006/relationships/hyperlink" Target="https://fehidro.saisp.br/cgi-bin/fehpublico.exe/ficha?id_contrato=10248" TargetMode="External"/><Relationship Id="rId34" Type="http://schemas.openxmlformats.org/officeDocument/2006/relationships/hyperlink" Target="https://fehidro.saisp.br/cgi-bin/fehpublico.exe/ficha?id_contrato=10352" TargetMode="External"/><Relationship Id="rId544" Type="http://schemas.openxmlformats.org/officeDocument/2006/relationships/hyperlink" Target="https://fehidro.saisp.br/cgi-bin/fehpublico.exe/ficha?id_contrato=10536" TargetMode="External"/><Relationship Id="rId183" Type="http://schemas.openxmlformats.org/officeDocument/2006/relationships/hyperlink" Target="https://fehidro.saisp.br/cgi-bin/fehpublico.exe/ficha?id_contrato=10371" TargetMode="External"/><Relationship Id="rId390" Type="http://schemas.openxmlformats.org/officeDocument/2006/relationships/hyperlink" Target="https://fehidro.saisp.br/cgi-bin/fehpublico.exe/ficha?id_contrato=10052" TargetMode="External"/><Relationship Id="rId404" Type="http://schemas.openxmlformats.org/officeDocument/2006/relationships/hyperlink" Target="https://fehidro.saisp.br/cgi-bin/fehpublico.exe/ficha?id_contrato=10382" TargetMode="External"/><Relationship Id="rId611" Type="http://schemas.openxmlformats.org/officeDocument/2006/relationships/hyperlink" Target="https://fehidro.saisp.br/cgi-bin/fehpublico.exe/ficha?id_contrato=10489" TargetMode="External"/><Relationship Id="rId250" Type="http://schemas.openxmlformats.org/officeDocument/2006/relationships/hyperlink" Target="https://fehidro.saisp.br/cgi-bin/fehpublico.exe/ficha?id_contrato=10411" TargetMode="External"/><Relationship Id="rId488" Type="http://schemas.openxmlformats.org/officeDocument/2006/relationships/hyperlink" Target="https://fehidro.saisp.br/cgi-bin/fehpublico.exe/ficha?id_contrato=10687" TargetMode="External"/><Relationship Id="rId695" Type="http://schemas.openxmlformats.org/officeDocument/2006/relationships/hyperlink" Target="https://fehidro.saisp.br/cgi-bin/fehpublico.exe/ficha?id_contrato=10574" TargetMode="External"/><Relationship Id="rId45" Type="http://schemas.openxmlformats.org/officeDocument/2006/relationships/hyperlink" Target="https://fehidro.saisp.br/cgi-bin/fehpublico.exe/ficha?id_contrato=9998" TargetMode="External"/><Relationship Id="rId110" Type="http://schemas.openxmlformats.org/officeDocument/2006/relationships/hyperlink" Target="https://fehidro.saisp.br/cgi-bin/fehpublico.exe/ficha?id_contrato=10090" TargetMode="External"/><Relationship Id="rId348" Type="http://schemas.openxmlformats.org/officeDocument/2006/relationships/hyperlink" Target="https://fehidro.saisp.br/cgi-bin/fehpublico.exe/ficha?id_contrato=10143" TargetMode="External"/><Relationship Id="rId555" Type="http://schemas.openxmlformats.org/officeDocument/2006/relationships/hyperlink" Target="https://fehidro.saisp.br/cgi-bin/fehpublico.exe/ficha?id_contrato=10523" TargetMode="External"/><Relationship Id="rId194" Type="http://schemas.openxmlformats.org/officeDocument/2006/relationships/hyperlink" Target="https://fehidro.saisp.br/cgi-bin/fehpublico.exe/ficha?id_contrato=10064" TargetMode="External"/><Relationship Id="rId208" Type="http://schemas.openxmlformats.org/officeDocument/2006/relationships/hyperlink" Target="https://fehidro.saisp.br/cgi-bin/fehpublico.exe/ficha?id_contrato=10380" TargetMode="External"/><Relationship Id="rId415" Type="http://schemas.openxmlformats.org/officeDocument/2006/relationships/hyperlink" Target="https://fehidro.saisp.br/cgi-bin/fehpublico.exe/ficha?id_contrato=10282" TargetMode="External"/><Relationship Id="rId622" Type="http://schemas.openxmlformats.org/officeDocument/2006/relationships/hyperlink" Target="https://fehidro.saisp.br/cgi-bin/fehpublico.exe/ficha?id_contrato=10739" TargetMode="External"/><Relationship Id="rId261" Type="http://schemas.openxmlformats.org/officeDocument/2006/relationships/hyperlink" Target="https://fehidro.saisp.br/cgi-bin/fehpublico.exe/ficha?id_contrato=10164" TargetMode="External"/><Relationship Id="rId499" Type="http://schemas.openxmlformats.org/officeDocument/2006/relationships/hyperlink" Target="https://fehidro.saisp.br/cgi-bin/fehpublico.exe/ficha?id_contrato=10719" TargetMode="External"/><Relationship Id="rId56" Type="http://schemas.openxmlformats.org/officeDocument/2006/relationships/hyperlink" Target="https://fehidro.saisp.br/cgi-bin/fehpublico.exe/ficha?id_contrato=10190" TargetMode="External"/><Relationship Id="rId359" Type="http://schemas.openxmlformats.org/officeDocument/2006/relationships/hyperlink" Target="https://fehidro.saisp.br/cgi-bin/fehpublico.exe/ficha?id_contrato=9984" TargetMode="External"/><Relationship Id="rId566" Type="http://schemas.openxmlformats.org/officeDocument/2006/relationships/hyperlink" Target="https://fehidro.saisp.br/cgi-bin/fehpublico.exe/ficha?id_contrato=10595" TargetMode="External"/><Relationship Id="rId121" Type="http://schemas.openxmlformats.org/officeDocument/2006/relationships/hyperlink" Target="https://fehidro.saisp.br/cgi-bin/fehpublico.exe/ficha?id_contrato=10103" TargetMode="External"/><Relationship Id="rId219" Type="http://schemas.openxmlformats.org/officeDocument/2006/relationships/hyperlink" Target="https://fehidro.saisp.br/cgi-bin/fehpublico.exe/ficha?id_contrato=10048" TargetMode="External"/><Relationship Id="rId426" Type="http://schemas.openxmlformats.org/officeDocument/2006/relationships/hyperlink" Target="https://fehidro.saisp.br/cgi-bin/fehpublico.exe/ficha?id_contrato=10219" TargetMode="External"/><Relationship Id="rId633" Type="http://schemas.openxmlformats.org/officeDocument/2006/relationships/hyperlink" Target="https://fehidro.saisp.br/cgi-bin/fehpublico.exe/ficha?id_contrato=10750" TargetMode="External"/><Relationship Id="rId67" Type="http://schemas.openxmlformats.org/officeDocument/2006/relationships/hyperlink" Target="https://fehidro.saisp.br/cgi-bin/fehpublico.exe/ficha?id_contrato=10360" TargetMode="External"/><Relationship Id="rId272" Type="http://schemas.openxmlformats.org/officeDocument/2006/relationships/hyperlink" Target="https://fehidro.saisp.br/cgi-bin/fehpublico.exe/ficha?id_contrato=10477" TargetMode="External"/><Relationship Id="rId577" Type="http://schemas.openxmlformats.org/officeDocument/2006/relationships/hyperlink" Target="https://fehidro.saisp.br/cgi-bin/fehpublico.exe/ficha?id_contrato=10770" TargetMode="External"/><Relationship Id="rId700" Type="http://schemas.openxmlformats.org/officeDocument/2006/relationships/hyperlink" Target="https://fehidro.saisp.br/cgi-bin/fehpublico.exe/ficha?id_contrato=10628" TargetMode="External"/><Relationship Id="rId132" Type="http://schemas.openxmlformats.org/officeDocument/2006/relationships/hyperlink" Target="https://fehidro.saisp.br/cgi-bin/fehpublico.exe/ficha?id_contrato=10247" TargetMode="External"/><Relationship Id="rId437" Type="http://schemas.openxmlformats.org/officeDocument/2006/relationships/hyperlink" Target="https://fehidro.saisp.br/cgi-bin/fehpublico.exe/ficha?id_contrato=10099" TargetMode="External"/><Relationship Id="rId644" Type="http://schemas.openxmlformats.org/officeDocument/2006/relationships/hyperlink" Target="https://fehidro.saisp.br/cgi-bin/fehpublico.exe/ficha?id_contrato=10586" TargetMode="External"/><Relationship Id="rId283" Type="http://schemas.openxmlformats.org/officeDocument/2006/relationships/hyperlink" Target="https://fehidro.saisp.br/cgi-bin/fehpublico.exe/ficha?id_contrato=10369" TargetMode="External"/><Relationship Id="rId490" Type="http://schemas.openxmlformats.org/officeDocument/2006/relationships/hyperlink" Target="https://fehidro.saisp.br/cgi-bin/fehpublico.exe/ficha?id_contrato=10651" TargetMode="External"/><Relationship Id="rId504" Type="http://schemas.openxmlformats.org/officeDocument/2006/relationships/hyperlink" Target="https://fehidro.saisp.br/cgi-bin/fehpublico.exe/ficha?id_contrato=10666" TargetMode="External"/><Relationship Id="rId78" Type="http://schemas.openxmlformats.org/officeDocument/2006/relationships/hyperlink" Target="https://fehidro.saisp.br/cgi-bin/fehpublico.exe/ficha?id_contrato=10166" TargetMode="External"/><Relationship Id="rId143" Type="http://schemas.openxmlformats.org/officeDocument/2006/relationships/hyperlink" Target="https://fehidro.saisp.br/cgi-bin/fehpublico.exe/ficha?id_contrato=10243" TargetMode="External"/><Relationship Id="rId350" Type="http://schemas.openxmlformats.org/officeDocument/2006/relationships/hyperlink" Target="https://fehidro.saisp.br/cgi-bin/fehpublico.exe/ficha?id_contrato=10146" TargetMode="External"/><Relationship Id="rId588" Type="http://schemas.openxmlformats.org/officeDocument/2006/relationships/hyperlink" Target="https://fehidro.saisp.br/cgi-bin/fehpublico.exe/ficha?id_contrato=10528" TargetMode="External"/><Relationship Id="rId9" Type="http://schemas.openxmlformats.org/officeDocument/2006/relationships/hyperlink" Target="https://fehidro.saisp.br/cgi-bin/fehpublico.exe/ficha?id_contrato=10456" TargetMode="External"/><Relationship Id="rId210" Type="http://schemas.openxmlformats.org/officeDocument/2006/relationships/hyperlink" Target="https://fehidro.saisp.br/cgi-bin/fehpublico.exe/ficha?id_contrato=10233" TargetMode="External"/><Relationship Id="rId448" Type="http://schemas.openxmlformats.org/officeDocument/2006/relationships/hyperlink" Target="https://fehidro.saisp.br/cgi-bin/fehpublico.exe/ficha?id_contrato=10216" TargetMode="External"/><Relationship Id="rId655" Type="http://schemas.openxmlformats.org/officeDocument/2006/relationships/hyperlink" Target="https://fehidro.saisp.br/cgi-bin/fehpublico.exe/ficha?id_contrato=10588" TargetMode="External"/><Relationship Id="rId294" Type="http://schemas.openxmlformats.org/officeDocument/2006/relationships/hyperlink" Target="https://fehidro.saisp.br/cgi-bin/fehpublico.exe/ficha?id_contrato=10042" TargetMode="External"/><Relationship Id="rId308" Type="http://schemas.openxmlformats.org/officeDocument/2006/relationships/hyperlink" Target="https://fehidro.saisp.br/cgi-bin/fehpublico.exe/ficha?id_contrato=10047" TargetMode="External"/><Relationship Id="rId515" Type="http://schemas.openxmlformats.org/officeDocument/2006/relationships/hyperlink" Target="https://fehidro.saisp.br/cgi-bin/fehpublico.exe/ficha?id_contrato=10647" TargetMode="External"/><Relationship Id="rId89" Type="http://schemas.openxmlformats.org/officeDocument/2006/relationships/hyperlink" Target="https://fehidro.saisp.br/cgi-bin/fehpublico.exe/ficha?id_contrato=10170" TargetMode="External"/><Relationship Id="rId154" Type="http://schemas.openxmlformats.org/officeDocument/2006/relationships/hyperlink" Target="https://fehidro.saisp.br/cgi-bin/fehpublico.exe/ficha?id_contrato=9925" TargetMode="External"/><Relationship Id="rId361" Type="http://schemas.openxmlformats.org/officeDocument/2006/relationships/hyperlink" Target="https://fehidro.saisp.br/cgi-bin/fehpublico.exe/ficha?id_contrato=10263" TargetMode="External"/><Relationship Id="rId599" Type="http://schemas.openxmlformats.org/officeDocument/2006/relationships/hyperlink" Target="https://fehidro.saisp.br/cgi-bin/fehpublico.exe/ficha?id_contrato=10602" TargetMode="External"/><Relationship Id="rId459" Type="http://schemas.openxmlformats.org/officeDocument/2006/relationships/hyperlink" Target="https://fehidro.saisp.br/cgi-bin/fehpublico.exe/ficha?id_contrato=10494" TargetMode="External"/><Relationship Id="rId666" Type="http://schemas.openxmlformats.org/officeDocument/2006/relationships/hyperlink" Target="https://fehidro.saisp.br/cgi-bin/fehpublico.exe/ficha?id_contrato=10682" TargetMode="External"/><Relationship Id="rId16" Type="http://schemas.openxmlformats.org/officeDocument/2006/relationships/hyperlink" Target="https://fehidro.saisp.br/cgi-bin/fehpublico.exe/ficha?id_contrato=9958" TargetMode="External"/><Relationship Id="rId221" Type="http://schemas.openxmlformats.org/officeDocument/2006/relationships/hyperlink" Target="https://fehidro.saisp.br/cgi-bin/fehpublico.exe/ficha?id_contrato=10434" TargetMode="External"/><Relationship Id="rId319" Type="http://schemas.openxmlformats.org/officeDocument/2006/relationships/hyperlink" Target="https://fehidro.saisp.br/cgi-bin/fehpublico.exe/ficha?id_contrato=9902" TargetMode="External"/><Relationship Id="rId526" Type="http://schemas.openxmlformats.org/officeDocument/2006/relationships/hyperlink" Target="https://fehidro.saisp.br/cgi-bin/fehpublico.exe/ficha?id_contrato=10713" TargetMode="External"/><Relationship Id="rId165" Type="http://schemas.openxmlformats.org/officeDocument/2006/relationships/hyperlink" Target="https://fehidro.saisp.br/cgi-bin/fehpublico.exe/ficha?id_contrato=9975" TargetMode="External"/><Relationship Id="rId372" Type="http://schemas.openxmlformats.org/officeDocument/2006/relationships/hyperlink" Target="https://fehidro.saisp.br/cgi-bin/fehpublico.exe/ficha?id_contrato=10370" TargetMode="External"/><Relationship Id="rId677" Type="http://schemas.openxmlformats.org/officeDocument/2006/relationships/hyperlink" Target="https://fehidro.saisp.br/cgi-bin/fehpublico.exe/ficha?id_contrato=10646" TargetMode="External"/><Relationship Id="rId232" Type="http://schemas.openxmlformats.org/officeDocument/2006/relationships/hyperlink" Target="https://fehidro.saisp.br/cgi-bin/fehpublico.exe/ficha?id_contrato=10187" TargetMode="External"/><Relationship Id="rId27" Type="http://schemas.openxmlformats.org/officeDocument/2006/relationships/hyperlink" Target="https://fehidro.saisp.br/cgi-bin/fehpublico.exe/ficha?id_contrato=10130" TargetMode="External"/><Relationship Id="rId537" Type="http://schemas.openxmlformats.org/officeDocument/2006/relationships/hyperlink" Target="https://fehidro.saisp.br/cgi-bin/fehpublico.exe/ficha?id_contrato=10731" TargetMode="External"/><Relationship Id="rId80" Type="http://schemas.openxmlformats.org/officeDocument/2006/relationships/hyperlink" Target="https://fehidro.saisp.br/cgi-bin/fehpublico.exe/ficha?id_contrato=10162" TargetMode="External"/><Relationship Id="rId176" Type="http://schemas.openxmlformats.org/officeDocument/2006/relationships/hyperlink" Target="https://fehidro.saisp.br/cgi-bin/fehpublico.exe/ficha?id_contrato=10256" TargetMode="External"/><Relationship Id="rId383" Type="http://schemas.openxmlformats.org/officeDocument/2006/relationships/hyperlink" Target="https://fehidro.saisp.br/cgi-bin/fehpublico.exe/ficha?id_contrato=10049" TargetMode="External"/><Relationship Id="rId590" Type="http://schemas.openxmlformats.org/officeDocument/2006/relationships/hyperlink" Target="https://fehidro.saisp.br/cgi-bin/fehpublico.exe/ficha?id_contrato=10533" TargetMode="External"/><Relationship Id="rId604" Type="http://schemas.openxmlformats.org/officeDocument/2006/relationships/hyperlink" Target="https://fehidro.saisp.br/cgi-bin/fehpublico.exe/ficha?id_contrato=10607" TargetMode="External"/><Relationship Id="rId243" Type="http://schemas.openxmlformats.org/officeDocument/2006/relationships/hyperlink" Target="https://fehidro.saisp.br/cgi-bin/fehpublico.exe/ficha?id_contrato=10451" TargetMode="External"/><Relationship Id="rId450" Type="http://schemas.openxmlformats.org/officeDocument/2006/relationships/hyperlink" Target="https://fehidro.saisp.br/cgi-bin/fehpublico.exe/ficha?id_contrato=10209" TargetMode="External"/><Relationship Id="rId688" Type="http://schemas.openxmlformats.org/officeDocument/2006/relationships/hyperlink" Target="https://fehidro.saisp.br/cgi-bin/fehpublico.exe/ficha?id_contrato=10570" TargetMode="External"/><Relationship Id="rId38" Type="http://schemas.openxmlformats.org/officeDocument/2006/relationships/hyperlink" Target="https://fehidro.saisp.br/cgi-bin/fehpublico.exe/ficha?id_contrato=10280" TargetMode="External"/><Relationship Id="rId103" Type="http://schemas.openxmlformats.org/officeDocument/2006/relationships/hyperlink" Target="https://fehidro.saisp.br/cgi-bin/fehpublico.exe/ficha?id_contrato=10292" TargetMode="External"/><Relationship Id="rId310" Type="http://schemas.openxmlformats.org/officeDocument/2006/relationships/hyperlink" Target="https://fehidro.saisp.br/cgi-bin/fehpublico.exe/ficha?id_contrato=10027" TargetMode="External"/><Relationship Id="rId548" Type="http://schemas.openxmlformats.org/officeDocument/2006/relationships/hyperlink" Target="https://fehidro.saisp.br/cgi-bin/fehpublico.exe/ficha?id_contrato=10519" TargetMode="External"/><Relationship Id="rId91" Type="http://schemas.openxmlformats.org/officeDocument/2006/relationships/hyperlink" Target="https://fehidro.saisp.br/cgi-bin/fehpublico.exe/ficha?id_contrato=10179" TargetMode="External"/><Relationship Id="rId187" Type="http://schemas.openxmlformats.org/officeDocument/2006/relationships/hyperlink" Target="https://fehidro.saisp.br/cgi-bin/fehpublico.exe/ficha?id_contrato=10332" TargetMode="External"/><Relationship Id="rId394" Type="http://schemas.openxmlformats.org/officeDocument/2006/relationships/hyperlink" Target="https://fehidro.saisp.br/cgi-bin/fehpublico.exe/ficha?id_contrato=10076" TargetMode="External"/><Relationship Id="rId408" Type="http://schemas.openxmlformats.org/officeDocument/2006/relationships/hyperlink" Target="https://fehidro.saisp.br/cgi-bin/fehpublico.exe/ficha?id_contrato=10011" TargetMode="External"/><Relationship Id="rId615" Type="http://schemas.openxmlformats.org/officeDocument/2006/relationships/hyperlink" Target="https://fehidro.saisp.br/cgi-bin/fehpublico.exe/ficha?id_contrato=10634" TargetMode="External"/><Relationship Id="rId254" Type="http://schemas.openxmlformats.org/officeDocument/2006/relationships/hyperlink" Target="https://fehidro.saisp.br/cgi-bin/fehpublico.exe/ficha?id_contrato=10214" TargetMode="External"/><Relationship Id="rId699" Type="http://schemas.openxmlformats.org/officeDocument/2006/relationships/hyperlink" Target="https://fehidro.saisp.br/cgi-bin/fehpublico.exe/ficha?id_contrato=10621" TargetMode="External"/><Relationship Id="rId49" Type="http://schemas.openxmlformats.org/officeDocument/2006/relationships/hyperlink" Target="https://fehidro.saisp.br/cgi-bin/fehpublico.exe/ficha?id_contrato=10002" TargetMode="External"/><Relationship Id="rId114" Type="http://schemas.openxmlformats.org/officeDocument/2006/relationships/hyperlink" Target="https://fehidro.saisp.br/cgi-bin/fehpublico.exe/ficha?id_contrato=10097" TargetMode="External"/><Relationship Id="rId461" Type="http://schemas.openxmlformats.org/officeDocument/2006/relationships/hyperlink" Target="https://fehidro.saisp.br/cgi-bin/fehpublico.exe/ficha?id_contrato=10497" TargetMode="External"/><Relationship Id="rId559" Type="http://schemas.openxmlformats.org/officeDocument/2006/relationships/hyperlink" Target="https://fehidro.saisp.br/cgi-bin/fehpublico.exe/ficha?id_contrato=10522" TargetMode="External"/><Relationship Id="rId198" Type="http://schemas.openxmlformats.org/officeDocument/2006/relationships/hyperlink" Target="https://fehidro.saisp.br/cgi-bin/fehpublico.exe/ficha?id_contrato=10061" TargetMode="External"/><Relationship Id="rId321" Type="http://schemas.openxmlformats.org/officeDocument/2006/relationships/hyperlink" Target="https://fehidro.saisp.br/cgi-bin/fehpublico.exe/ficha?id_contrato=10102" TargetMode="External"/><Relationship Id="rId419" Type="http://schemas.openxmlformats.org/officeDocument/2006/relationships/hyperlink" Target="https://fehidro.saisp.br/cgi-bin/fehpublico.exe/ficha?id_contrato=10479" TargetMode="External"/><Relationship Id="rId626" Type="http://schemas.openxmlformats.org/officeDocument/2006/relationships/hyperlink" Target="https://fehidro.saisp.br/cgi-bin/fehpublico.exe/ficha?id_contrato=10743" TargetMode="External"/><Relationship Id="rId265" Type="http://schemas.openxmlformats.org/officeDocument/2006/relationships/hyperlink" Target="https://fehidro.saisp.br/cgi-bin/fehpublico.exe/ficha?id_contrato=10152" TargetMode="External"/><Relationship Id="rId472" Type="http://schemas.openxmlformats.org/officeDocument/2006/relationships/hyperlink" Target="https://fehidro.saisp.br/cgi-bin/fehpublico.exe/ficha?id_contrato=10690"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65911"/>
  </sheetPr>
  <dimension ref="A1:AG56"/>
  <sheetViews>
    <sheetView showGridLines="0" zoomScale="85" zoomScaleNormal="85" workbookViewId="0">
      <selection activeCell="A12" sqref="A12"/>
    </sheetView>
  </sheetViews>
  <sheetFormatPr defaultColWidth="9.109375" defaultRowHeight="14.4"/>
  <cols>
    <col min="1" max="1" width="21.33203125" style="126" bestFit="1" customWidth="1"/>
    <col min="2" max="2" width="20.44140625" style="126" customWidth="1"/>
    <col min="3" max="3" width="10.44140625" style="126" customWidth="1"/>
    <col min="4" max="4" width="22.109375" style="126" customWidth="1"/>
    <col min="5" max="5" width="20.44140625" style="126" customWidth="1"/>
    <col min="6" max="6" width="22.44140625" style="126" customWidth="1"/>
    <col min="7" max="7" width="19.109375" style="126" customWidth="1"/>
    <col min="8" max="8" width="17.6640625" style="126" customWidth="1"/>
    <col min="9" max="9" width="17.6640625" style="117" customWidth="1"/>
    <col min="10" max="10" width="12.109375" style="126" customWidth="1"/>
    <col min="11" max="11" width="24.109375" style="126" customWidth="1"/>
    <col min="12" max="12" width="20.88671875" style="111" customWidth="1"/>
    <col min="13" max="13" width="7.109375" style="126" customWidth="1"/>
    <col min="14" max="14" width="21" style="126" customWidth="1"/>
    <col min="15" max="15" width="20.44140625" style="126" customWidth="1"/>
    <col min="16" max="16" width="10.44140625" style="126" customWidth="1"/>
    <col min="17" max="17" width="22.109375" style="126" customWidth="1"/>
    <col min="18" max="18" width="20.44140625" style="126" customWidth="1"/>
    <col min="19" max="19" width="22.44140625" style="126" customWidth="1"/>
    <col min="20" max="20" width="19.109375" style="126" customWidth="1"/>
    <col min="21" max="21" width="17.6640625" style="126" customWidth="1"/>
    <col min="22" max="22" width="17.6640625" customWidth="1"/>
    <col min="23" max="23" width="14.109375" customWidth="1"/>
    <col min="24" max="24" width="19" style="126" bestFit="1" customWidth="1"/>
    <col min="25" max="25" width="28" style="126" customWidth="1"/>
    <col min="26" max="16384" width="9.109375" style="126"/>
  </cols>
  <sheetData>
    <row r="1" spans="1:33" ht="53.25" customHeight="1">
      <c r="A1" s="187" t="s">
        <v>0</v>
      </c>
      <c r="B1" s="187" t="s">
        <v>1</v>
      </c>
      <c r="C1" s="170" t="s">
        <v>2</v>
      </c>
      <c r="D1" s="172" t="s">
        <v>3</v>
      </c>
      <c r="E1" s="170" t="s">
        <v>4</v>
      </c>
      <c r="F1" s="170" t="s">
        <v>5</v>
      </c>
      <c r="G1" s="170" t="s">
        <v>6</v>
      </c>
      <c r="H1" s="173" t="s">
        <v>7</v>
      </c>
      <c r="J1" s="170" t="s">
        <v>8</v>
      </c>
      <c r="K1" s="171" t="s">
        <v>9</v>
      </c>
      <c r="L1" s="170" t="s">
        <v>2</v>
      </c>
      <c r="M1" s="125"/>
      <c r="Z1" s="117"/>
      <c r="AA1" s="117"/>
      <c r="AB1" s="117"/>
      <c r="AC1" s="117"/>
      <c r="AD1" s="117"/>
      <c r="AE1" s="117"/>
      <c r="AF1" s="117"/>
      <c r="AG1" s="117"/>
    </row>
    <row r="2" spans="1:33" ht="24.75" customHeight="1">
      <c r="A2" s="282" t="s">
        <v>10</v>
      </c>
      <c r="B2" s="283">
        <v>2000000</v>
      </c>
      <c r="C2" s="186" t="s">
        <v>11</v>
      </c>
      <c r="D2" s="252">
        <v>0.35499999999999998</v>
      </c>
      <c r="E2" s="128">
        <f>(D2*B$8)</f>
        <v>7010185</v>
      </c>
      <c r="F2" s="101">
        <f>COUNTIF($L:$L,$C2)</f>
        <v>6</v>
      </c>
      <c r="G2" s="129">
        <f>E2/F2</f>
        <v>1168364.1666666667</v>
      </c>
      <c r="H2" s="174">
        <f>G2/$B$8</f>
        <v>5.9166666666666673E-2</v>
      </c>
      <c r="J2" s="127">
        <v>1</v>
      </c>
      <c r="K2" s="247">
        <v>149000</v>
      </c>
      <c r="L2" s="285" t="str" cm="1">
        <f t="array" ref="L2">_xlfn.IFS(K2&lt;=$B$2,$C$2,K2&lt;=$B$3,$C$3,K2&lt;=$B$4,$C$4,K2&lt;=$B$5,$C$5,K2&gt;$B$5,$C$6)</f>
        <v xml:space="preserve">Faixa 1 </v>
      </c>
      <c r="M2" s="123"/>
      <c r="X2" s="80"/>
      <c r="Y2" s="117"/>
      <c r="Z2" s="117"/>
      <c r="AA2" s="117"/>
      <c r="AB2" s="117"/>
      <c r="AC2" s="117"/>
      <c r="AD2" s="117"/>
      <c r="AE2" s="117"/>
      <c r="AF2" s="117"/>
    </row>
    <row r="3" spans="1:33" ht="24.75" customHeight="1">
      <c r="A3" s="282" t="s">
        <v>10</v>
      </c>
      <c r="B3" s="283">
        <v>5000000</v>
      </c>
      <c r="C3" s="186" t="s">
        <v>12</v>
      </c>
      <c r="D3" s="253">
        <v>0.30499999999999999</v>
      </c>
      <c r="E3" s="128">
        <f>(D3*B$8)</f>
        <v>6022835</v>
      </c>
      <c r="F3" s="101">
        <f>COUNTIF($L:$L,$C3)</f>
        <v>6</v>
      </c>
      <c r="G3" s="129">
        <f>E3/F3</f>
        <v>1003805.8333333334</v>
      </c>
      <c r="H3" s="174">
        <f>G3/$B$8</f>
        <v>5.0833333333333335E-2</v>
      </c>
      <c r="J3" s="127">
        <v>2</v>
      </c>
      <c r="K3" s="247">
        <v>13000000</v>
      </c>
      <c r="L3" s="285" t="str" cm="1">
        <f t="array" ref="L3">_xlfn.IFS(K3&lt;=$B$2,$C$2,K3&lt;=$B$3,$C$3,K3&lt;=$B$4,$C$4,K3&lt;=$B$5,$C$5,K3&gt;$B$5,$C$6)</f>
        <v xml:space="preserve">Faixa 4  </v>
      </c>
      <c r="M3" s="123"/>
      <c r="X3" s="130"/>
      <c r="Y3" s="117"/>
      <c r="Z3" s="117"/>
      <c r="AA3" s="117"/>
      <c r="AB3" s="117"/>
      <c r="AC3" s="117"/>
      <c r="AD3" s="117"/>
      <c r="AE3" s="117"/>
      <c r="AF3" s="117"/>
    </row>
    <row r="4" spans="1:33" ht="24.75" customHeight="1">
      <c r="A4" s="282" t="s">
        <v>10</v>
      </c>
      <c r="B4" s="283">
        <v>10000000</v>
      </c>
      <c r="C4" s="186" t="s">
        <v>13</v>
      </c>
      <c r="D4" s="252">
        <v>0.25</v>
      </c>
      <c r="E4" s="128">
        <f>(D4*B$8)</f>
        <v>4936750</v>
      </c>
      <c r="F4" s="101">
        <f>COUNTIF($L:$L,$C4)</f>
        <v>6</v>
      </c>
      <c r="G4" s="129">
        <f>E4/F4</f>
        <v>822791.66666666663</v>
      </c>
      <c r="H4" s="174">
        <f>G4/$B$8</f>
        <v>4.1666666666666664E-2</v>
      </c>
      <c r="J4" s="127">
        <v>3</v>
      </c>
      <c r="K4" s="247">
        <v>1076000</v>
      </c>
      <c r="L4" s="285" t="str" cm="1">
        <f t="array" ref="L4">_xlfn.IFS(K4&lt;=$B$2,$C$2,K4&lt;=$B$3,$C$3,K4&lt;=$B$4,$C$4,K4&lt;=$B$5,$C$5,K4&gt;$B$5,$C$6)</f>
        <v xml:space="preserve">Faixa 1 </v>
      </c>
      <c r="M4" s="123"/>
      <c r="V4" s="284"/>
      <c r="X4" s="80"/>
      <c r="Y4" s="117"/>
      <c r="Z4" s="117"/>
      <c r="AA4" s="117"/>
      <c r="AB4" s="117"/>
      <c r="AC4" s="117"/>
      <c r="AD4" s="117"/>
      <c r="AE4" s="117"/>
      <c r="AF4" s="117"/>
    </row>
    <row r="5" spans="1:33" ht="24.75" customHeight="1">
      <c r="A5" s="282" t="s">
        <v>10</v>
      </c>
      <c r="B5" s="283">
        <v>25000000</v>
      </c>
      <c r="C5" s="186" t="s">
        <v>14</v>
      </c>
      <c r="D5" s="254">
        <v>6.5000000000000002E-2</v>
      </c>
      <c r="E5" s="128">
        <f>(D5*B$8)</f>
        <v>1283555</v>
      </c>
      <c r="F5" s="101">
        <f>COUNTIF($L:$L,$C5)</f>
        <v>2</v>
      </c>
      <c r="G5" s="129">
        <f>E5/F5</f>
        <v>641777.5</v>
      </c>
      <c r="H5" s="174">
        <f>G5/$B$8</f>
        <v>3.2500000000000001E-2</v>
      </c>
      <c r="J5" s="127">
        <v>4</v>
      </c>
      <c r="K5" s="247">
        <v>4816000</v>
      </c>
      <c r="L5" s="285" t="str" cm="1">
        <f t="array" ref="L5">_xlfn.IFS(K5&lt;=$B$2,$C$2,K5&lt;=$B$3,$C$3,K5&lt;=$B$4,$C$4,K5&lt;=$B$5,$C$5,K5&gt;$B$5,$C$6)</f>
        <v xml:space="preserve">Faixa 2 </v>
      </c>
      <c r="M5" s="123"/>
      <c r="X5" s="80"/>
      <c r="Y5" s="117"/>
      <c r="Z5" s="117"/>
      <c r="AA5" s="117"/>
      <c r="AB5" s="117"/>
      <c r="AC5" s="117"/>
      <c r="AD5" s="117"/>
      <c r="AE5" s="117"/>
      <c r="AF5" s="117"/>
    </row>
    <row r="6" spans="1:33" ht="24.75" customHeight="1">
      <c r="A6" s="282" t="s">
        <v>15</v>
      </c>
      <c r="B6" s="283">
        <v>25000000</v>
      </c>
      <c r="C6" s="186" t="s">
        <v>16</v>
      </c>
      <c r="D6" s="254">
        <v>2.5000000000000001E-2</v>
      </c>
      <c r="E6" s="128">
        <f>(D6*B8)</f>
        <v>493675</v>
      </c>
      <c r="F6" s="101">
        <v>1</v>
      </c>
      <c r="G6" s="129">
        <f>E6/F6</f>
        <v>493675</v>
      </c>
      <c r="H6" s="174">
        <f>G6/$B$8</f>
        <v>2.5000000000000001E-2</v>
      </c>
      <c r="J6" s="127">
        <v>5</v>
      </c>
      <c r="K6" s="247">
        <v>20133000</v>
      </c>
      <c r="L6" s="285" t="str" cm="1">
        <f t="array" ref="L6">_xlfn.IFS(K6&lt;=$B$2,$C$2,K6&lt;=$B$3,$C$3,K6&lt;=$B$4,$C$4,K6&lt;=$B$5,$C$5,K6&gt;$B$5,$C$6)</f>
        <v xml:space="preserve">Faixa 4  </v>
      </c>
      <c r="M6" s="123"/>
      <c r="X6" s="117"/>
      <c r="Y6" s="117"/>
      <c r="Z6" s="117"/>
      <c r="AA6" s="117"/>
      <c r="AB6" s="117"/>
      <c r="AC6" s="117"/>
      <c r="AD6" s="117"/>
      <c r="AE6" s="117"/>
      <c r="AF6" s="117"/>
    </row>
    <row r="7" spans="1:33" ht="24.75" customHeight="1">
      <c r="A7" s="117"/>
      <c r="B7" s="117"/>
      <c r="C7" s="117"/>
      <c r="D7" s="150" t="s">
        <v>17</v>
      </c>
      <c r="E7" s="117"/>
      <c r="F7" s="150"/>
      <c r="G7" s="117"/>
      <c r="H7" s="150"/>
      <c r="J7" s="127">
        <v>6</v>
      </c>
      <c r="K7" s="247">
        <v>48000000</v>
      </c>
      <c r="L7" s="285" t="str" cm="1">
        <f t="array" ref="L7">_xlfn.IFS(K7&lt;=$B$2,$C$2,K7&lt;=$B$3,$C$3,K7&lt;=$B$4,$C$4,K7&lt;=$B$5,$C$5,K7&gt;$B$5,$C$6)</f>
        <v xml:space="preserve">Faixa 5 </v>
      </c>
      <c r="M7" s="117"/>
      <c r="X7" s="117"/>
      <c r="Y7" s="117"/>
      <c r="Z7" s="117"/>
      <c r="AA7" s="117"/>
      <c r="AB7" s="117"/>
      <c r="AC7" s="117"/>
      <c r="AD7" s="117"/>
      <c r="AE7" s="117"/>
      <c r="AF7" s="117"/>
    </row>
    <row r="8" spans="1:33" ht="23.25" customHeight="1">
      <c r="A8" s="131" t="s">
        <v>18</v>
      </c>
      <c r="B8" s="132">
        <v>19747000</v>
      </c>
      <c r="C8" s="117"/>
      <c r="D8" s="255"/>
      <c r="E8" s="117"/>
      <c r="F8" s="117"/>
      <c r="G8" s="117"/>
      <c r="H8" s="117"/>
      <c r="J8" s="127">
        <v>7</v>
      </c>
      <c r="K8" s="247">
        <v>6000000</v>
      </c>
      <c r="L8" s="285" t="str" cm="1">
        <f t="array" ref="L8">_xlfn.IFS(K8&lt;=$B$2,$C$2,K8&lt;=$B$3,$C$3,K8&lt;=$B$4,$C$4,K8&lt;=$B$5,$C$5,K8&gt;$B$5,$C$6)</f>
        <v xml:space="preserve">Faixa 3 </v>
      </c>
      <c r="M8" s="117"/>
      <c r="X8" s="80"/>
      <c r="Y8" s="117"/>
      <c r="Z8" s="117"/>
      <c r="AA8" s="117"/>
      <c r="AB8" s="117"/>
      <c r="AC8" s="117"/>
      <c r="AD8" s="117"/>
      <c r="AE8" s="117"/>
      <c r="AF8" s="117"/>
    </row>
    <row r="9" spans="1:33" ht="24.75" customHeight="1">
      <c r="A9" s="246"/>
      <c r="B9" s="117"/>
      <c r="C9" s="117"/>
      <c r="D9" s="117"/>
      <c r="E9" s="117"/>
      <c r="F9" s="117"/>
      <c r="G9" s="117"/>
      <c r="H9" s="117"/>
      <c r="J9" s="127">
        <v>8</v>
      </c>
      <c r="K9" s="247">
        <v>1765000</v>
      </c>
      <c r="L9" s="285" t="str" cm="1">
        <f t="array" ref="L9">_xlfn.IFS(K9&lt;=$B$2,$C$2,K9&lt;=$B$3,$C$3,K9&lt;=$B$4,$C$4,K9&lt;=$B$5,$C$5,K9&gt;$B$5,$C$6)</f>
        <v xml:space="preserve">Faixa 1 </v>
      </c>
      <c r="M9" s="117"/>
      <c r="N9" s="246"/>
      <c r="O9" s="117"/>
      <c r="P9" s="117"/>
      <c r="Q9" s="117"/>
      <c r="R9" s="117"/>
      <c r="S9" s="117"/>
      <c r="T9" s="117"/>
      <c r="U9" s="117"/>
      <c r="X9" s="80"/>
      <c r="Y9" s="117"/>
      <c r="Z9" s="117"/>
      <c r="AA9" s="117"/>
      <c r="AB9" s="117"/>
      <c r="AC9" s="117"/>
      <c r="AD9" s="117"/>
      <c r="AE9" s="117"/>
      <c r="AF9" s="117"/>
    </row>
    <row r="10" spans="1:33" ht="24.75" customHeight="1">
      <c r="A10" s="246"/>
      <c r="B10" s="117"/>
      <c r="C10" s="117"/>
      <c r="D10" s="117"/>
      <c r="E10" s="117"/>
      <c r="F10" s="117"/>
      <c r="G10" s="117"/>
      <c r="H10" s="117"/>
      <c r="J10" s="127">
        <v>9</v>
      </c>
      <c r="K10" s="247">
        <v>7572000</v>
      </c>
      <c r="L10" s="285" t="str" cm="1">
        <f t="array" ref="L10">_xlfn.IFS(K10&lt;=$B$2,$C$2,K10&lt;=$B$3,$C$3,K10&lt;=$B$4,$C$4,K10&lt;=$B$5,$C$5,K10&gt;$B$5,$C$6)</f>
        <v xml:space="preserve">Faixa 3 </v>
      </c>
      <c r="M10" s="117"/>
      <c r="N10" s="246"/>
      <c r="O10" s="117"/>
      <c r="P10" s="117"/>
      <c r="Q10" s="117"/>
      <c r="R10" s="117"/>
      <c r="S10" s="117"/>
      <c r="T10" s="117"/>
      <c r="U10" s="117"/>
      <c r="X10" s="117"/>
      <c r="Y10" s="117"/>
      <c r="Z10" s="117"/>
      <c r="AA10" s="117"/>
      <c r="AB10" s="117"/>
      <c r="AC10" s="117"/>
      <c r="AD10" s="117"/>
      <c r="AE10" s="117"/>
      <c r="AF10" s="117"/>
    </row>
    <row r="11" spans="1:33" ht="24.75" customHeight="1">
      <c r="A11" s="246"/>
      <c r="B11" s="117"/>
      <c r="C11" s="117"/>
      <c r="D11" s="117"/>
      <c r="E11" s="117"/>
      <c r="F11" s="117"/>
      <c r="G11" s="117"/>
      <c r="H11" s="117"/>
      <c r="J11" s="127">
        <v>10</v>
      </c>
      <c r="K11" s="248">
        <v>8000000</v>
      </c>
      <c r="L11" s="285" t="str" cm="1">
        <f t="array" ref="L11">_xlfn.IFS(K11&lt;=$B$2,$C$2,K11&lt;=$B$3,$C$3,K11&lt;=$B$4,$C$4,K11&lt;=$B$5,$C$5,K11&gt;$B$5,$C$6)</f>
        <v xml:space="preserve">Faixa 3 </v>
      </c>
      <c r="M11" s="117"/>
      <c r="N11" s="246"/>
      <c r="O11" s="117"/>
      <c r="P11" s="117"/>
      <c r="Q11" s="117"/>
      <c r="R11" s="117"/>
      <c r="S11" s="117"/>
      <c r="T11" s="117"/>
      <c r="U11" s="117"/>
      <c r="X11" s="117"/>
      <c r="Y11" s="117"/>
      <c r="Z11" s="117"/>
      <c r="AA11" s="117"/>
      <c r="AB11" s="117"/>
      <c r="AC11" s="117"/>
      <c r="AD11" s="117"/>
      <c r="AE11" s="117"/>
      <c r="AF11" s="117"/>
    </row>
    <row r="12" spans="1:33" ht="24.75" customHeight="1">
      <c r="A12" s="246"/>
      <c r="B12" s="117"/>
      <c r="C12" s="117"/>
      <c r="D12" s="117"/>
      <c r="E12" s="117"/>
      <c r="F12" s="117"/>
      <c r="G12" s="117"/>
      <c r="H12" s="117"/>
      <c r="J12" s="127">
        <v>11</v>
      </c>
      <c r="K12" s="247">
        <v>5700000</v>
      </c>
      <c r="L12" s="285" t="str" cm="1">
        <f t="array" ref="L12">_xlfn.IFS(K12&lt;=$B$2,$C$2,K12&lt;=$B$3,$C$3,K12&lt;=$B$4,$C$4,K12&lt;=$B$5,$C$5,K12&gt;$B$5,$C$6)</f>
        <v xml:space="preserve">Faixa 3 </v>
      </c>
      <c r="M12" s="117"/>
      <c r="N12" s="246"/>
      <c r="O12" s="117"/>
      <c r="P12" s="117"/>
      <c r="Q12" s="117"/>
      <c r="R12" s="117"/>
      <c r="S12" s="117"/>
      <c r="T12" s="117"/>
      <c r="U12" s="117"/>
      <c r="X12" s="117"/>
      <c r="Y12" s="117"/>
      <c r="Z12" s="117"/>
      <c r="AA12" s="117"/>
      <c r="AB12" s="117"/>
      <c r="AC12" s="117"/>
      <c r="AD12" s="117"/>
      <c r="AE12" s="117"/>
      <c r="AF12" s="117"/>
    </row>
    <row r="13" spans="1:33" ht="24.75" customHeight="1">
      <c r="A13" s="246"/>
      <c r="B13" s="117"/>
      <c r="C13" s="117"/>
      <c r="D13" s="117"/>
      <c r="E13" s="117"/>
      <c r="F13" s="117"/>
      <c r="G13" s="117"/>
      <c r="H13" s="117"/>
      <c r="J13" s="127">
        <v>12</v>
      </c>
      <c r="K13" s="247">
        <v>2617000</v>
      </c>
      <c r="L13" s="285" t="str" cm="1">
        <f t="array" ref="L13">_xlfn.IFS(K13&lt;=$B$2,$C$2,K13&lt;=$B$3,$C$3,K13&lt;=$B$4,$C$4,K13&lt;=$B$5,$C$5,K13&gt;$B$5,$C$6)</f>
        <v xml:space="preserve">Faixa 2 </v>
      </c>
      <c r="M13" s="117"/>
      <c r="N13" s="246"/>
      <c r="O13" s="117"/>
      <c r="P13" s="117"/>
      <c r="Q13" s="117"/>
      <c r="R13" s="117"/>
      <c r="S13" s="117"/>
      <c r="T13" s="117"/>
      <c r="U13" s="117"/>
      <c r="X13" s="117"/>
      <c r="Y13" s="117"/>
      <c r="Z13" s="117"/>
      <c r="AA13" s="117"/>
      <c r="AB13" s="117"/>
      <c r="AC13" s="117"/>
      <c r="AD13" s="117"/>
      <c r="AE13" s="117"/>
      <c r="AF13" s="117"/>
      <c r="AG13" s="117"/>
    </row>
    <row r="14" spans="1:33" ht="24.75" customHeight="1">
      <c r="A14" s="246"/>
      <c r="B14" s="117"/>
      <c r="C14" s="117"/>
      <c r="D14" s="117"/>
      <c r="E14" s="117"/>
      <c r="F14" s="117"/>
      <c r="G14" s="117"/>
      <c r="H14" s="117"/>
      <c r="J14" s="127">
        <v>13</v>
      </c>
      <c r="K14" s="249">
        <v>5500000</v>
      </c>
      <c r="L14" s="285" t="str" cm="1">
        <f t="array" ref="L14">_xlfn.IFS(K14&lt;=$B$2,$C$2,K14&lt;=$B$3,$C$3,K14&lt;=$B$4,$C$4,K14&lt;=$B$5,$C$5,K14&gt;$B$5,$C$6)</f>
        <v xml:space="preserve">Faixa 3 </v>
      </c>
      <c r="M14" s="117"/>
      <c r="N14" s="246"/>
      <c r="O14" s="117"/>
      <c r="P14" s="117"/>
      <c r="Q14" s="117"/>
      <c r="R14" s="117"/>
      <c r="S14" s="117"/>
      <c r="T14" s="117"/>
      <c r="U14" s="117"/>
      <c r="X14" s="117"/>
      <c r="Y14" s="117"/>
      <c r="Z14" s="117"/>
      <c r="AA14" s="117"/>
      <c r="AB14" s="117"/>
      <c r="AC14" s="117"/>
      <c r="AD14" s="117"/>
      <c r="AE14" s="117"/>
      <c r="AF14" s="117"/>
      <c r="AG14" s="117"/>
    </row>
    <row r="15" spans="1:33" ht="24.75" customHeight="1">
      <c r="A15" s="246"/>
      <c r="B15" s="117"/>
      <c r="C15" s="117"/>
      <c r="D15" s="117"/>
      <c r="E15" s="117"/>
      <c r="F15" s="117"/>
      <c r="G15" s="117"/>
      <c r="H15" s="117"/>
      <c r="J15" s="127">
        <v>14</v>
      </c>
      <c r="K15" s="247">
        <v>2000000</v>
      </c>
      <c r="L15" s="285" t="str" cm="1">
        <f t="array" ref="L15">_xlfn.IFS(K15&lt;=$B$2,$C$2,K15&lt;=$B$3,$C$3,K15&lt;=$B$4,$C$4,K15&lt;=$B$5,$C$5,K15&gt;$B$5,$C$6)</f>
        <v xml:space="preserve">Faixa 1 </v>
      </c>
      <c r="M15" s="117"/>
      <c r="N15" s="246"/>
      <c r="O15" s="117"/>
      <c r="P15" s="117"/>
      <c r="Q15" s="117"/>
      <c r="R15" s="117"/>
      <c r="S15" s="117"/>
      <c r="T15" s="117"/>
      <c r="U15" s="117"/>
      <c r="X15" s="117"/>
      <c r="Y15" s="117"/>
      <c r="Z15" s="117"/>
      <c r="AA15" s="117"/>
      <c r="AB15" s="117"/>
      <c r="AC15" s="117"/>
      <c r="AD15" s="117"/>
      <c r="AE15" s="117"/>
      <c r="AF15" s="117"/>
      <c r="AG15" s="117"/>
    </row>
    <row r="16" spans="1:33" ht="24.75" customHeight="1">
      <c r="A16" s="246"/>
      <c r="B16" s="117"/>
      <c r="C16" s="117"/>
      <c r="D16" s="117"/>
      <c r="E16" s="117"/>
      <c r="F16" s="117"/>
      <c r="G16" s="117"/>
      <c r="H16" s="117"/>
      <c r="J16" s="127">
        <v>15</v>
      </c>
      <c r="K16" s="247">
        <v>3041000</v>
      </c>
      <c r="L16" s="285" t="str" cm="1">
        <f t="array" ref="L16">_xlfn.IFS(K16&lt;=$B$2,$C$2,K16&lt;=$B$3,$C$3,K16&lt;=$B$4,$C$4,K16&lt;=$B$5,$C$5,K16&gt;$B$5,$C$6)</f>
        <v xml:space="preserve">Faixa 2 </v>
      </c>
      <c r="M16" s="117"/>
      <c r="N16" s="246"/>
      <c r="O16" s="117"/>
      <c r="P16" s="117"/>
      <c r="Q16" s="117"/>
      <c r="R16" s="117"/>
      <c r="S16" s="117"/>
      <c r="T16" s="117"/>
      <c r="U16" s="117"/>
      <c r="X16" s="117"/>
      <c r="Y16" s="117"/>
      <c r="Z16" s="117"/>
      <c r="AA16" s="117"/>
      <c r="AB16" s="117"/>
      <c r="AC16" s="117"/>
      <c r="AD16" s="117"/>
      <c r="AE16" s="117"/>
      <c r="AF16" s="117"/>
      <c r="AG16" s="117"/>
    </row>
    <row r="17" spans="1:33" ht="24.75" customHeight="1">
      <c r="A17" s="246"/>
      <c r="B17" s="117"/>
      <c r="C17" s="117"/>
      <c r="D17" s="117"/>
      <c r="E17" s="117"/>
      <c r="F17" s="117"/>
      <c r="G17" s="117"/>
      <c r="H17" s="117"/>
      <c r="J17" s="127">
        <v>16</v>
      </c>
      <c r="K17" s="247">
        <v>3249000</v>
      </c>
      <c r="L17" s="285" t="str" cm="1">
        <f t="array" ref="L17">_xlfn.IFS(K17&lt;=$B$2,$C$2,K17&lt;=$B$3,$C$3,K17&lt;=$B$4,$C$4,K17&lt;=$B$5,$C$5,K17&gt;$B$5,$C$6)</f>
        <v xml:space="preserve">Faixa 2 </v>
      </c>
      <c r="M17" s="117"/>
      <c r="N17" s="246"/>
      <c r="O17" s="117"/>
      <c r="P17" s="117"/>
      <c r="Q17" s="117"/>
      <c r="R17" s="117"/>
      <c r="S17" s="117"/>
      <c r="T17" s="117"/>
      <c r="U17" s="117"/>
      <c r="X17" s="117"/>
      <c r="Y17" s="117"/>
      <c r="Z17" s="117"/>
      <c r="AA17" s="117"/>
      <c r="AB17" s="117"/>
      <c r="AC17" s="117"/>
      <c r="AD17" s="117"/>
      <c r="AE17" s="117"/>
      <c r="AF17" s="117"/>
      <c r="AG17" s="117"/>
    </row>
    <row r="18" spans="1:33" ht="24.75" customHeight="1">
      <c r="A18" s="246"/>
      <c r="B18" s="117"/>
      <c r="C18" s="117"/>
      <c r="D18" s="117"/>
      <c r="E18" s="117"/>
      <c r="F18" s="117"/>
      <c r="G18" s="117"/>
      <c r="H18" s="117"/>
      <c r="J18" s="127">
        <v>17</v>
      </c>
      <c r="K18" s="247">
        <v>2700000</v>
      </c>
      <c r="L18" s="285" t="str" cm="1">
        <f t="array" ref="L18">_xlfn.IFS(K18&lt;=$B$2,$C$2,K18&lt;=$B$3,$C$3,K18&lt;=$B$4,$C$4,K18&lt;=$B$5,$C$5,K18&gt;$B$5,$C$6)</f>
        <v xml:space="preserve">Faixa 2 </v>
      </c>
      <c r="M18" s="117"/>
      <c r="N18" s="246"/>
      <c r="O18" s="117"/>
      <c r="P18" s="117"/>
      <c r="Q18" s="117"/>
      <c r="R18" s="117"/>
      <c r="S18" s="117"/>
      <c r="T18" s="117"/>
      <c r="U18" s="117"/>
      <c r="X18" s="117"/>
      <c r="Y18" s="117"/>
      <c r="Z18" s="117"/>
      <c r="AA18" s="117"/>
      <c r="AB18" s="117"/>
      <c r="AC18" s="117"/>
      <c r="AD18" s="117"/>
      <c r="AE18" s="117"/>
      <c r="AF18" s="117"/>
      <c r="AG18" s="117"/>
    </row>
    <row r="19" spans="1:33" ht="24.75" customHeight="1">
      <c r="A19" s="246"/>
      <c r="B19" s="117"/>
      <c r="C19" s="117"/>
      <c r="D19" s="117"/>
      <c r="E19" s="117"/>
      <c r="F19" s="117"/>
      <c r="G19" s="117"/>
      <c r="H19" s="117"/>
      <c r="J19" s="127">
        <v>18</v>
      </c>
      <c r="K19" s="247">
        <v>885000</v>
      </c>
      <c r="L19" s="285" t="str" cm="1">
        <f t="array" ref="L19">_xlfn.IFS(K19&lt;=$B$2,$C$2,K19&lt;=$B$3,$C$3,K19&lt;=$B$4,$C$4,K19&lt;=$B$5,$C$5,K19&gt;$B$5,$C$6)</f>
        <v xml:space="preserve">Faixa 1 </v>
      </c>
      <c r="M19" s="117"/>
      <c r="N19" s="246"/>
      <c r="O19" s="117"/>
      <c r="P19" s="117"/>
      <c r="Q19" s="117"/>
      <c r="R19" s="117"/>
      <c r="S19" s="117"/>
      <c r="T19" s="117"/>
      <c r="U19" s="117"/>
      <c r="X19" s="117"/>
      <c r="Y19" s="117"/>
      <c r="Z19" s="117"/>
      <c r="AA19" s="117"/>
      <c r="AB19" s="117"/>
      <c r="AC19" s="117"/>
      <c r="AD19" s="117"/>
      <c r="AE19" s="117"/>
      <c r="AF19" s="117"/>
      <c r="AG19" s="117"/>
    </row>
    <row r="20" spans="1:33" ht="24.75" customHeight="1">
      <c r="A20" s="246"/>
      <c r="B20" s="117"/>
      <c r="C20" s="117"/>
      <c r="D20" s="117"/>
      <c r="E20" s="117"/>
      <c r="F20" s="117"/>
      <c r="G20" s="117"/>
      <c r="H20" s="117"/>
      <c r="J20" s="127">
        <v>19</v>
      </c>
      <c r="K20" s="247">
        <v>6600000</v>
      </c>
      <c r="L20" s="285" t="str" cm="1">
        <f t="array" ref="L20">_xlfn.IFS(K20&lt;=$B$2,$C$2,K20&lt;=$B$3,$C$3,K20&lt;=$B$4,$C$4,K20&lt;=$B$5,$C$5,K20&gt;$B$5,$C$6)</f>
        <v xml:space="preserve">Faixa 3 </v>
      </c>
      <c r="M20" s="117"/>
      <c r="N20" s="246"/>
      <c r="O20" s="117"/>
      <c r="P20" s="117"/>
      <c r="Q20" s="117"/>
      <c r="R20" s="117"/>
      <c r="S20" s="117"/>
      <c r="T20" s="117"/>
      <c r="U20" s="117"/>
      <c r="X20" s="117"/>
      <c r="Y20" s="117"/>
      <c r="Z20" s="117"/>
      <c r="AA20" s="117"/>
      <c r="AB20" s="117"/>
      <c r="AC20" s="117"/>
      <c r="AD20" s="117"/>
      <c r="AE20" s="117"/>
      <c r="AF20" s="117"/>
      <c r="AG20" s="117"/>
    </row>
    <row r="21" spans="1:33" ht="24.75" customHeight="1">
      <c r="A21" s="246"/>
      <c r="B21" s="117"/>
      <c r="C21" s="117"/>
      <c r="D21" s="117"/>
      <c r="E21" s="117"/>
      <c r="F21" s="117"/>
      <c r="G21" s="117"/>
      <c r="H21" s="117"/>
      <c r="J21" s="127">
        <v>22</v>
      </c>
      <c r="K21" s="247">
        <v>1503000</v>
      </c>
      <c r="L21" s="285" t="str" cm="1">
        <f t="array" ref="L21">_xlfn.IFS(K21&lt;=$B$2,$C$2,K21&lt;=$B$3,$C$3,K21&lt;=$B$4,$C$4,K21&lt;=$B$5,$C$5,K21&gt;$B$5,$C$6)</f>
        <v xml:space="preserve">Faixa 1 </v>
      </c>
      <c r="M21" s="117"/>
      <c r="N21" s="246"/>
      <c r="O21" s="117"/>
      <c r="P21" s="117"/>
      <c r="Q21" s="117"/>
      <c r="R21" s="117"/>
      <c r="S21" s="117"/>
      <c r="T21" s="117"/>
      <c r="U21" s="117"/>
      <c r="X21" s="117"/>
      <c r="Y21" s="117"/>
      <c r="Z21" s="117"/>
      <c r="AA21" s="117"/>
      <c r="AB21" s="117"/>
      <c r="AC21" s="117"/>
      <c r="AD21" s="117"/>
      <c r="AE21" s="117"/>
      <c r="AF21" s="117"/>
      <c r="AG21" s="117"/>
    </row>
    <row r="22" spans="1:33" ht="24.75" customHeight="1">
      <c r="A22" s="246"/>
      <c r="B22" s="117"/>
      <c r="C22" s="117"/>
      <c r="D22" s="117"/>
      <c r="E22" s="117"/>
      <c r="F22" s="117"/>
      <c r="G22" s="117"/>
      <c r="H22" s="117"/>
      <c r="J22" s="127">
        <v>2021</v>
      </c>
      <c r="K22" s="247">
        <v>3500000</v>
      </c>
      <c r="L22" s="285" t="str" cm="1">
        <f t="array" ref="L22">_xlfn.IFS(K22&lt;=$B$2,$C$2,K22&lt;=$B$3,$C$3,K22&lt;=$B$4,$C$4,K22&lt;=$B$5,$C$5,K22&gt;$B$5,$C$6)</f>
        <v xml:space="preserve">Faixa 2 </v>
      </c>
      <c r="M22" s="117"/>
      <c r="N22" s="246"/>
      <c r="O22" s="117"/>
      <c r="P22" s="117"/>
      <c r="Q22" s="117"/>
      <c r="R22" s="117"/>
      <c r="S22" s="117"/>
      <c r="T22" s="117"/>
      <c r="U22" s="117"/>
      <c r="X22" s="117"/>
      <c r="Y22" s="117"/>
      <c r="Z22" s="117"/>
      <c r="AA22" s="117"/>
      <c r="AB22" s="117"/>
      <c r="AC22" s="117"/>
      <c r="AD22" s="117"/>
      <c r="AE22" s="117"/>
      <c r="AF22" s="117"/>
      <c r="AG22" s="117"/>
    </row>
    <row r="23" spans="1:33" ht="24.75" customHeight="1">
      <c r="A23" s="246"/>
      <c r="B23" s="117"/>
      <c r="C23" s="117"/>
      <c r="D23" s="117"/>
      <c r="E23" s="117"/>
      <c r="F23" s="117"/>
      <c r="G23" s="117"/>
      <c r="H23" s="117"/>
      <c r="J23" s="117"/>
      <c r="K23" s="117"/>
      <c r="L23" s="110"/>
      <c r="M23" s="117"/>
      <c r="N23" s="246"/>
      <c r="O23" s="117"/>
      <c r="P23" s="117"/>
      <c r="Q23" s="117"/>
      <c r="R23" s="117"/>
      <c r="S23" s="117"/>
      <c r="T23" s="117"/>
      <c r="U23" s="117"/>
      <c r="X23" s="117"/>
      <c r="Y23" s="117"/>
    </row>
    <row r="24" spans="1:33">
      <c r="A24" s="246"/>
      <c r="B24" s="117"/>
      <c r="C24" s="117"/>
      <c r="D24" s="117"/>
      <c r="E24" s="117"/>
      <c r="F24" s="117"/>
      <c r="G24" s="117"/>
      <c r="H24" s="117"/>
      <c r="J24" s="117"/>
      <c r="K24" s="117"/>
      <c r="L24" s="110"/>
      <c r="M24" s="117"/>
      <c r="N24" s="246"/>
      <c r="O24" s="117"/>
      <c r="P24" s="117"/>
      <c r="Q24" s="117"/>
      <c r="R24" s="117"/>
      <c r="S24" s="117"/>
      <c r="T24" s="117"/>
      <c r="U24" s="117"/>
      <c r="X24" s="117"/>
      <c r="Y24" s="117"/>
    </row>
    <row r="25" spans="1:33">
      <c r="A25" s="246"/>
      <c r="B25" s="117"/>
      <c r="C25" s="117"/>
      <c r="D25" s="117"/>
      <c r="E25" s="117"/>
      <c r="F25" s="117"/>
      <c r="G25" s="117"/>
      <c r="H25" s="117"/>
      <c r="J25" s="117"/>
      <c r="K25" s="117"/>
      <c r="L25" s="110"/>
      <c r="M25" s="117"/>
      <c r="N25" s="246"/>
      <c r="O25" s="117"/>
      <c r="P25" s="117"/>
      <c r="Q25" s="117"/>
      <c r="R25" s="117"/>
      <c r="S25" s="117"/>
      <c r="T25" s="117"/>
      <c r="U25" s="117"/>
      <c r="X25" s="117"/>
      <c r="Y25" s="117"/>
    </row>
    <row r="26" spans="1:33">
      <c r="A26" s="246"/>
      <c r="B26" s="117"/>
      <c r="C26" s="117"/>
      <c r="D26" s="117"/>
      <c r="E26" s="117"/>
      <c r="J26" s="117"/>
      <c r="K26" s="117"/>
      <c r="L26" s="110"/>
      <c r="M26" s="117"/>
      <c r="N26" s="246"/>
      <c r="O26" s="117"/>
      <c r="P26" s="117"/>
      <c r="Q26" s="117"/>
      <c r="R26" s="117"/>
    </row>
    <row r="27" spans="1:33">
      <c r="A27" s="246"/>
      <c r="B27" s="117"/>
      <c r="C27" s="117"/>
      <c r="D27" s="117"/>
      <c r="E27" s="117"/>
      <c r="J27" s="117"/>
      <c r="K27" s="117"/>
      <c r="L27" s="110"/>
      <c r="M27" s="117"/>
      <c r="N27" s="246"/>
      <c r="O27" s="117"/>
      <c r="P27" s="117"/>
      <c r="Q27" s="117"/>
      <c r="R27" s="117"/>
    </row>
    <row r="28" spans="1:33">
      <c r="A28" s="246"/>
      <c r="B28" s="117"/>
      <c r="C28" s="117"/>
      <c r="D28" s="117"/>
      <c r="E28" s="117"/>
      <c r="J28" s="117"/>
      <c r="K28" s="117"/>
      <c r="L28" s="110"/>
      <c r="M28" s="117"/>
      <c r="N28" s="246"/>
      <c r="O28" s="117"/>
      <c r="P28" s="117"/>
      <c r="Q28" s="117"/>
      <c r="R28" s="117"/>
    </row>
    <row r="29" spans="1:33">
      <c r="A29" s="246"/>
      <c r="B29" s="117"/>
      <c r="C29" s="117"/>
      <c r="D29" s="117"/>
      <c r="E29" s="117"/>
      <c r="J29" s="117"/>
      <c r="K29" s="117"/>
      <c r="L29" s="110"/>
      <c r="M29" s="117"/>
      <c r="N29" s="246"/>
      <c r="O29" s="117"/>
      <c r="P29" s="117"/>
      <c r="Q29" s="117"/>
      <c r="R29" s="117"/>
    </row>
    <row r="30" spans="1:33">
      <c r="A30" s="80"/>
      <c r="B30" s="117"/>
      <c r="C30" s="117"/>
      <c r="D30" s="117"/>
      <c r="E30" s="117"/>
      <c r="J30" s="117"/>
      <c r="K30" s="117"/>
      <c r="L30" s="110"/>
      <c r="M30" s="117"/>
      <c r="N30" s="80"/>
      <c r="O30" s="117"/>
      <c r="P30" s="117"/>
      <c r="Q30" s="117"/>
      <c r="R30" s="117"/>
    </row>
    <row r="31" spans="1:33">
      <c r="A31" s="80"/>
      <c r="B31" s="117"/>
      <c r="C31" s="117"/>
      <c r="D31" s="117"/>
      <c r="E31" s="117"/>
      <c r="J31" s="117"/>
      <c r="K31" s="117"/>
      <c r="L31" s="110"/>
      <c r="M31" s="117"/>
      <c r="N31" s="80"/>
      <c r="O31" s="117"/>
      <c r="P31" s="117"/>
      <c r="Q31" s="117"/>
      <c r="R31" s="117"/>
    </row>
    <row r="32" spans="1:33">
      <c r="A32" s="117"/>
      <c r="B32" s="117"/>
      <c r="C32" s="117"/>
      <c r="D32" s="117"/>
      <c r="E32" s="117"/>
      <c r="J32" s="117"/>
      <c r="K32" s="117"/>
      <c r="L32" s="110"/>
      <c r="M32" s="117"/>
      <c r="N32" s="117"/>
      <c r="O32" s="117"/>
      <c r="P32" s="117"/>
      <c r="Q32" s="117"/>
      <c r="R32" s="117"/>
    </row>
    <row r="33" spans="1:18">
      <c r="A33" s="117"/>
      <c r="B33" s="117"/>
      <c r="C33" s="117"/>
      <c r="D33" s="117"/>
      <c r="E33" s="117"/>
      <c r="J33" s="117"/>
      <c r="K33" s="117"/>
      <c r="L33" s="110"/>
      <c r="M33" s="117"/>
      <c r="N33" s="117"/>
      <c r="O33" s="117"/>
      <c r="P33" s="117"/>
      <c r="Q33" s="117"/>
      <c r="R33" s="117"/>
    </row>
    <row r="34" spans="1:18">
      <c r="A34" s="117"/>
      <c r="B34" s="117"/>
      <c r="C34" s="117"/>
      <c r="D34" s="117"/>
      <c r="E34" s="117"/>
      <c r="L34" s="110"/>
      <c r="M34" s="117"/>
      <c r="N34" s="117"/>
      <c r="O34" s="117"/>
      <c r="P34" s="117"/>
      <c r="Q34" s="117"/>
      <c r="R34" s="117"/>
    </row>
    <row r="35" spans="1:18">
      <c r="A35" s="117"/>
      <c r="B35" s="117"/>
      <c r="C35" s="117"/>
      <c r="D35" s="117"/>
      <c r="E35" s="117"/>
      <c r="L35" s="110"/>
      <c r="M35" s="117"/>
      <c r="N35" s="117"/>
      <c r="O35" s="117"/>
      <c r="P35" s="117"/>
      <c r="Q35" s="117"/>
      <c r="R35" s="117"/>
    </row>
    <row r="36" spans="1:18">
      <c r="A36" s="117"/>
      <c r="B36" s="117"/>
      <c r="C36" s="117"/>
      <c r="D36" s="117"/>
      <c r="E36" s="117"/>
      <c r="L36" s="110"/>
      <c r="M36" s="117"/>
      <c r="N36" s="117"/>
      <c r="O36" s="117"/>
      <c r="P36" s="117"/>
      <c r="Q36" s="117"/>
      <c r="R36" s="117"/>
    </row>
    <row r="37" spans="1:18">
      <c r="A37" s="117"/>
      <c r="B37" s="117"/>
      <c r="C37" s="117"/>
      <c r="D37" s="117"/>
      <c r="E37" s="117"/>
      <c r="L37" s="110"/>
      <c r="M37" s="117"/>
      <c r="N37" s="117"/>
      <c r="O37" s="117"/>
      <c r="P37" s="117"/>
      <c r="Q37" s="117"/>
      <c r="R37" s="117"/>
    </row>
    <row r="38" spans="1:18">
      <c r="A38" s="117"/>
      <c r="B38" s="117"/>
      <c r="C38" s="117"/>
      <c r="D38" s="117"/>
      <c r="E38" s="117"/>
      <c r="L38" s="110"/>
      <c r="M38" s="117"/>
      <c r="N38" s="117"/>
      <c r="O38" s="117"/>
      <c r="P38" s="117"/>
      <c r="Q38" s="117"/>
      <c r="R38" s="117"/>
    </row>
    <row r="39" spans="1:18">
      <c r="A39" s="117"/>
      <c r="B39" s="117"/>
      <c r="C39" s="117"/>
      <c r="D39" s="117"/>
      <c r="E39" s="117"/>
      <c r="L39" s="110"/>
      <c r="M39" s="117"/>
      <c r="N39" s="117"/>
      <c r="O39" s="117"/>
      <c r="P39" s="117"/>
      <c r="Q39" s="117"/>
      <c r="R39" s="117"/>
    </row>
    <row r="40" spans="1:18">
      <c r="A40" s="117"/>
      <c r="B40" s="117"/>
      <c r="C40" s="117"/>
      <c r="D40" s="117"/>
      <c r="E40" s="117"/>
      <c r="L40" s="110"/>
      <c r="M40" s="117"/>
      <c r="N40" s="117"/>
      <c r="O40" s="117"/>
      <c r="P40" s="117"/>
      <c r="Q40" s="117"/>
      <c r="R40" s="117"/>
    </row>
    <row r="41" spans="1:18">
      <c r="A41" s="117"/>
      <c r="B41" s="117"/>
      <c r="C41" s="117"/>
      <c r="D41" s="117"/>
      <c r="E41" s="117"/>
      <c r="L41" s="110"/>
      <c r="M41" s="117"/>
      <c r="N41" s="117"/>
      <c r="O41" s="117"/>
      <c r="P41" s="117"/>
      <c r="Q41" s="117"/>
      <c r="R41" s="117"/>
    </row>
    <row r="42" spans="1:18">
      <c r="A42" s="117"/>
      <c r="B42" s="117"/>
      <c r="C42" s="117"/>
      <c r="D42" s="117"/>
      <c r="E42" s="117"/>
      <c r="L42" s="110"/>
      <c r="M42" s="117"/>
      <c r="N42" s="117"/>
      <c r="O42" s="117"/>
      <c r="P42" s="117"/>
      <c r="Q42" s="117"/>
      <c r="R42" s="117"/>
    </row>
    <row r="43" spans="1:18">
      <c r="A43" s="117"/>
      <c r="B43" s="117"/>
      <c r="C43" s="117"/>
      <c r="D43" s="117"/>
      <c r="E43" s="117"/>
      <c r="L43" s="110"/>
      <c r="M43" s="117"/>
      <c r="N43" s="117"/>
      <c r="O43" s="117"/>
      <c r="P43" s="117"/>
      <c r="Q43" s="117"/>
      <c r="R43" s="117"/>
    </row>
    <row r="44" spans="1:18">
      <c r="A44" s="117"/>
      <c r="B44" s="117"/>
      <c r="C44" s="117"/>
      <c r="D44" s="117"/>
      <c r="E44" s="117"/>
      <c r="L44" s="110"/>
      <c r="M44" s="117"/>
      <c r="N44" s="117"/>
      <c r="O44" s="117"/>
      <c r="P44" s="117"/>
      <c r="Q44" s="117"/>
      <c r="R44" s="117"/>
    </row>
    <row r="45" spans="1:18">
      <c r="A45" s="117"/>
      <c r="B45" s="117"/>
      <c r="C45" s="117"/>
      <c r="D45" s="117"/>
      <c r="E45" s="117"/>
      <c r="L45" s="110"/>
      <c r="M45" s="117"/>
      <c r="N45" s="117"/>
      <c r="O45" s="117"/>
      <c r="P45" s="117"/>
      <c r="Q45" s="117"/>
      <c r="R45" s="117"/>
    </row>
    <row r="46" spans="1:18">
      <c r="A46" s="117"/>
      <c r="B46" s="117"/>
      <c r="C46" s="117"/>
      <c r="D46" s="117"/>
      <c r="E46" s="117"/>
      <c r="L46" s="110"/>
      <c r="M46" s="117"/>
      <c r="N46" s="117"/>
      <c r="O46" s="117"/>
      <c r="P46" s="117"/>
      <c r="Q46" s="117"/>
      <c r="R46" s="117"/>
    </row>
    <row r="47" spans="1:18">
      <c r="A47" s="117"/>
      <c r="B47" s="117"/>
      <c r="C47" s="117"/>
      <c r="D47" s="117"/>
      <c r="E47" s="117"/>
      <c r="L47" s="110"/>
      <c r="M47" s="117"/>
      <c r="N47" s="117"/>
      <c r="O47" s="117"/>
      <c r="P47" s="117"/>
      <c r="Q47" s="117"/>
      <c r="R47" s="117"/>
    </row>
    <row r="48" spans="1:18">
      <c r="A48" s="117"/>
      <c r="B48" s="117"/>
      <c r="C48" s="117"/>
      <c r="D48" s="117"/>
      <c r="E48" s="117"/>
      <c r="L48" s="110"/>
      <c r="M48" s="117"/>
      <c r="N48" s="117"/>
      <c r="O48" s="117"/>
      <c r="P48" s="117"/>
      <c r="Q48" s="117"/>
      <c r="R48" s="117"/>
    </row>
    <row r="49" spans="1:18">
      <c r="A49" s="117"/>
      <c r="B49" s="117"/>
      <c r="C49" s="117"/>
      <c r="D49" s="117"/>
      <c r="E49" s="117"/>
      <c r="L49" s="110"/>
      <c r="M49" s="117"/>
      <c r="N49" s="117"/>
      <c r="O49" s="117"/>
      <c r="P49" s="117"/>
      <c r="Q49" s="117"/>
      <c r="R49" s="117"/>
    </row>
    <row r="50" spans="1:18">
      <c r="A50" s="117"/>
      <c r="B50" s="117"/>
      <c r="C50" s="117"/>
      <c r="D50" s="117"/>
      <c r="E50" s="117"/>
      <c r="L50" s="110"/>
      <c r="M50" s="117"/>
      <c r="N50" s="117"/>
      <c r="O50" s="117"/>
      <c r="P50" s="117"/>
      <c r="Q50" s="117"/>
      <c r="R50" s="117"/>
    </row>
    <row r="51" spans="1:18">
      <c r="A51" s="117"/>
      <c r="B51" s="117"/>
      <c r="C51" s="117"/>
      <c r="D51" s="117"/>
      <c r="E51" s="117"/>
      <c r="L51" s="110"/>
      <c r="M51" s="117"/>
      <c r="N51" s="117"/>
      <c r="O51" s="117"/>
      <c r="P51" s="117"/>
      <c r="Q51" s="117"/>
      <c r="R51" s="117"/>
    </row>
    <row r="52" spans="1:18">
      <c r="A52" s="117"/>
      <c r="B52" s="117"/>
      <c r="C52" s="117"/>
      <c r="D52" s="117"/>
      <c r="E52" s="117"/>
      <c r="M52" s="117"/>
      <c r="N52" s="117"/>
      <c r="O52" s="117"/>
      <c r="P52" s="117"/>
      <c r="Q52" s="117"/>
      <c r="R52" s="117"/>
    </row>
    <row r="53" spans="1:18">
      <c r="C53" s="117"/>
      <c r="D53" s="117"/>
      <c r="E53" s="117"/>
      <c r="P53" s="117"/>
      <c r="Q53" s="117"/>
      <c r="R53" s="117"/>
    </row>
    <row r="54" spans="1:18">
      <c r="C54" s="117"/>
      <c r="D54" s="117"/>
      <c r="E54" s="117"/>
      <c r="P54" s="117"/>
      <c r="Q54" s="117"/>
      <c r="R54" s="117"/>
    </row>
    <row r="55" spans="1:18">
      <c r="C55" s="117"/>
      <c r="D55" s="117"/>
      <c r="E55" s="117"/>
      <c r="P55" s="117"/>
      <c r="Q55" s="117"/>
      <c r="R55" s="117"/>
    </row>
    <row r="56" spans="1:18">
      <c r="D56" s="117"/>
      <c r="E56" s="117"/>
      <c r="Q56" s="117"/>
      <c r="R56" s="117"/>
    </row>
  </sheetData>
  <autoFilter ref="J1:L22" xr:uid="{160F8416-B570-4381-A793-2F1AD8F0035F}">
    <sortState xmlns:xlrd2="http://schemas.microsoft.com/office/spreadsheetml/2017/richdata2" ref="J2:L22">
      <sortCondition ref="J1:J22"/>
    </sortState>
  </autoFilter>
  <phoneticPr fontId="13" type="noConversion"/>
  <dataValidations count="1">
    <dataValidation type="decimal" allowBlank="1" showInputMessage="1" showErrorMessage="1" sqref="D2:D6" xr:uid="{00000000-0002-0000-0000-000000000000}">
      <formula1>0</formula1>
      <formula2>1</formula2>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Q209"/>
  <sheetViews>
    <sheetView zoomScaleNormal="100" workbookViewId="0">
      <pane xSplit="1" ySplit="1" topLeftCell="M2" activePane="bottomRight" state="frozen"/>
      <selection pane="topRight" activeCell="B1" sqref="B1"/>
      <selection pane="bottomLeft" activeCell="A2" sqref="A2"/>
      <selection pane="bottomRight" activeCell="V11" sqref="V11"/>
    </sheetView>
  </sheetViews>
  <sheetFormatPr defaultColWidth="9.109375" defaultRowHeight="12.6"/>
  <cols>
    <col min="1" max="1" width="9.6640625" style="118" customWidth="1"/>
    <col min="2" max="2" width="20.6640625" style="119" customWidth="1"/>
    <col min="3" max="6" width="20.6640625" style="118" customWidth="1"/>
    <col min="7" max="7" width="20.6640625" style="122" customWidth="1"/>
    <col min="8" max="8" width="20.6640625" style="118" customWidth="1"/>
    <col min="9" max="9" width="20.6640625" style="121" customWidth="1"/>
    <col min="10" max="10" width="6.33203125" style="103" customWidth="1"/>
    <col min="11" max="11" width="22.44140625" style="104" customWidth="1"/>
    <col min="12" max="12" width="12.44140625" style="118" hidden="1" customWidth="1"/>
    <col min="13" max="13" width="14" style="118" customWidth="1"/>
    <col min="14" max="14" width="5.44140625" style="118" customWidth="1"/>
    <col min="15" max="15" width="6.109375" style="118" customWidth="1"/>
    <col min="16" max="16" width="23.5546875" style="118" customWidth="1"/>
    <col min="17" max="17" width="18.44140625" style="118" hidden="1" customWidth="1"/>
    <col min="18" max="18" width="13.33203125" style="118" customWidth="1"/>
    <col min="19" max="19" width="9.109375" style="103"/>
    <col min="20" max="20" width="20" style="103" customWidth="1"/>
    <col min="21" max="21" width="10.33203125" style="103" customWidth="1"/>
    <col min="22" max="43" width="9.109375" style="103"/>
    <col min="44" max="16384" width="9.109375" style="295"/>
  </cols>
  <sheetData>
    <row r="1" spans="1:21" ht="78.75" customHeight="1">
      <c r="A1" s="261" t="s">
        <v>19</v>
      </c>
      <c r="B1" s="261" t="s">
        <v>20</v>
      </c>
      <c r="C1" s="262" t="s">
        <v>21</v>
      </c>
      <c r="D1" s="263" t="s">
        <v>22</v>
      </c>
      <c r="E1" s="263" t="s">
        <v>23</v>
      </c>
      <c r="F1" s="264" t="s">
        <v>24</v>
      </c>
      <c r="G1" s="262" t="s">
        <v>25</v>
      </c>
      <c r="H1" s="265" t="s">
        <v>26</v>
      </c>
      <c r="I1" s="266" t="s">
        <v>27</v>
      </c>
      <c r="J1" s="269"/>
      <c r="K1" s="260" t="s">
        <v>28</v>
      </c>
      <c r="L1" s="260" t="s">
        <v>29</v>
      </c>
      <c r="M1" s="260" t="s">
        <v>30</v>
      </c>
      <c r="N1" s="269"/>
      <c r="O1" s="270"/>
      <c r="P1" s="260" t="s">
        <v>31</v>
      </c>
      <c r="Q1" s="267" t="s">
        <v>32</v>
      </c>
      <c r="R1" s="268" t="s">
        <v>33</v>
      </c>
      <c r="T1" s="296"/>
      <c r="U1" s="296"/>
    </row>
    <row r="2" spans="1:21" ht="20.25" customHeight="1">
      <c r="A2" s="114">
        <v>1</v>
      </c>
      <c r="B2" s="100">
        <f t="shared" ref="B2:B22" si="0">SUM($C2,$G2)</f>
        <v>10</v>
      </c>
      <c r="C2" s="206" cm="1">
        <f t="array" ref="C2">_xlfn.IFS(F2=$L$2,M$2,F2&lt;=$L$3,M$3,F2&lt;=$L$4,M$4,F2&lt;=$L$5,M$5,F2&gt;$L$6,$M$6)</f>
        <v>10</v>
      </c>
      <c r="D2" s="115">
        <f>COUNTIFS('empreend 2019_2020'!$A:$A,Tabela5[[#This Row],[UGRHi]],'empreend 2019_2020'!B:B,2020)</f>
        <v>2</v>
      </c>
      <c r="E2" s="115">
        <f>COUNTIFS('empreend 2019_2020'!G:G,"Sim",'empreend 2019_2020'!A:A,Tabela5[[#This Row],[UGRHi]],'empreend 2019_2020'!B:B,2020)</f>
        <v>0</v>
      </c>
      <c r="F2" s="167">
        <f>Tabela5[[#This Row],[nº total empreendimentos devolvidos pela CRHI no ano anterior]]/Tabela5[[#This Row],[nº total empreendimentos indicados pelo CBH no ano anterior]]</f>
        <v>0</v>
      </c>
      <c r="G2" s="169" cm="1">
        <f t="array" ref="G2" xml:space="preserve"> _xlfn.IFS(Tabela5[[#This Row],[% eficiência da utilização]]&lt;=$Q$2,$R$2, Tabela5[[#This Row],[% eficiência da utilização]]&lt;=$Q$3,$R$3,Tabela5[[#This Row],[% eficiência da utilização]]&lt;=$Q$4,$R$4,Tabela5[[#This Row],[% eficiência da utilização]]&lt;=$Q$5,$R$5, Tabela5[[#This Row],[% eficiência da utilização]]&gt;$Q$6,$R$6)</f>
        <v>0</v>
      </c>
      <c r="H2" s="201">
        <v>868567.87</v>
      </c>
      <c r="I2" s="168">
        <f>(SUMIFS('empreend 2019_2020'!$F:$F,'empreend 2019_2020'!$B:$B, 2020,'empreend 2019_2020'!$A:$A,Tabela5[[#This Row],[UGRHi]],'empreend 2019_2020'!$G:$G, "não") / Tabela5[[#This Row],[R$ disponível ]])</f>
        <v>0.52172674773244831</v>
      </c>
      <c r="K2" s="243">
        <v>0</v>
      </c>
      <c r="L2" s="244">
        <v>0</v>
      </c>
      <c r="M2" s="243">
        <v>10</v>
      </c>
      <c r="N2" s="103"/>
      <c r="O2" s="181"/>
      <c r="P2" s="182" t="s">
        <v>34</v>
      </c>
      <c r="Q2" s="116">
        <v>0.85</v>
      </c>
      <c r="R2" s="106">
        <v>0</v>
      </c>
      <c r="T2" s="296"/>
      <c r="U2" s="296"/>
    </row>
    <row r="3" spans="1:21" ht="20.25" customHeight="1">
      <c r="A3" s="114">
        <v>2</v>
      </c>
      <c r="B3" s="100">
        <f t="shared" si="0"/>
        <v>10</v>
      </c>
      <c r="C3" s="206" cm="1">
        <f t="array" ref="C3">_xlfn.IFS(F3=$L$2,M$2,F3&lt;=$L$3,M$3,F3&lt;=$L$4,M$4,F3&lt;=$L$5,M$5,F3&gt;$L$6,$M$6)</f>
        <v>10</v>
      </c>
      <c r="D3" s="115">
        <f>COUNTIFS('empreend 2019_2020'!$A:$A,Tabela5[[#This Row],[UGRHi]],'empreend 2019_2020'!B:B,2020)</f>
        <v>6</v>
      </c>
      <c r="E3" s="115">
        <f>COUNTIFS('empreend 2019_2020'!G:G,"Sim",'empreend 2019_2020'!A:A,Tabela5[[#This Row],[UGRHi]],'empreend 2019_2020'!B:B,2020)</f>
        <v>0</v>
      </c>
      <c r="F3" s="167">
        <f>Tabela5[[#This Row],[nº total empreendimentos devolvidos pela CRHI no ano anterior]]/Tabela5[[#This Row],[nº total empreendimentos indicados pelo CBH no ano anterior]]</f>
        <v>0</v>
      </c>
      <c r="G3" s="169" cm="1">
        <f t="array" ref="G3" xml:space="preserve"> _xlfn.IFS(Tabela5[[#This Row],[% eficiência da utilização]]&lt;=$Q$2,$R$2, Tabela5[[#This Row],[% eficiência da utilização]]&lt;=$Q$3,$R$3,Tabela5[[#This Row],[% eficiência da utilização]]&lt;=$Q$4,$R$4,Tabela5[[#This Row],[% eficiência da utilização]]&lt;=$Q$5,$R$5, Tabela5[[#This Row],[% eficiência da utilização]]&gt;$Q$6,$R$6)</f>
        <v>0</v>
      </c>
      <c r="H3" s="202">
        <v>68967991.579999998</v>
      </c>
      <c r="I3" s="168">
        <f>(SUMIFS('empreend 2019_2020'!$F:$F,'empreend 2019_2020'!$B:$B, 2020,'empreend 2019_2020'!$A:$A,Tabela5[[#This Row],[UGRHi]],'empreend 2019_2020'!$G:$G, "não") / Tabela5[[#This Row],[R$ disponível ]])</f>
        <v>5.9560665112817546E-2</v>
      </c>
      <c r="K3" s="243" t="s">
        <v>35</v>
      </c>
      <c r="L3" s="244">
        <v>0.05</v>
      </c>
      <c r="M3" s="243">
        <v>6</v>
      </c>
      <c r="N3" s="103"/>
      <c r="O3" s="81"/>
      <c r="P3" s="182" t="s">
        <v>36</v>
      </c>
      <c r="Q3" s="116">
        <v>0.9</v>
      </c>
      <c r="R3" s="106">
        <v>2</v>
      </c>
      <c r="T3" s="296"/>
      <c r="U3" s="296"/>
    </row>
    <row r="4" spans="1:21" ht="20.25" customHeight="1">
      <c r="A4" s="114">
        <v>3</v>
      </c>
      <c r="B4" s="100">
        <f t="shared" si="0"/>
        <v>10</v>
      </c>
      <c r="C4" s="206" cm="1">
        <f t="array" ref="C4">_xlfn.IFS(F4=$L$2,M$2,F4&lt;=$L$3,M$3,F4&lt;=$L$4,M$4,F4&lt;=$L$5,M$5,F4&gt;$L$6,$M$6)</f>
        <v>0</v>
      </c>
      <c r="D4" s="115">
        <f>COUNTIFS('empreend 2019_2020'!$A:$A,Tabela5[[#This Row],[UGRHi]],'empreend 2019_2020'!B:B,2020)</f>
        <v>4</v>
      </c>
      <c r="E4" s="115">
        <f>COUNTIFS('empreend 2019_2020'!G:G,"Sim",'empreend 2019_2020'!A:A,Tabela5[[#This Row],[UGRHi]],'empreend 2019_2020'!B:B,2020)</f>
        <v>1</v>
      </c>
      <c r="F4" s="167">
        <f>Tabela5[[#This Row],[nº total empreendimentos devolvidos pela CRHI no ano anterior]]/Tabela5[[#This Row],[nº total empreendimentos indicados pelo CBH no ano anterior]]</f>
        <v>0.25</v>
      </c>
      <c r="G4" s="169" cm="1">
        <f t="array" ref="G4" xml:space="preserve"> _xlfn.IFS(Tabela5[[#This Row],[% eficiência da utilização]]&lt;=$Q$2,$R$2, Tabela5[[#This Row],[% eficiência da utilização]]&lt;=$Q$3,$R$3,Tabela5[[#This Row],[% eficiência da utilização]]&lt;=$Q$4,$R$4,Tabela5[[#This Row],[% eficiência da utilização]]&lt;=$Q$5,$R$5, Tabela5[[#This Row],[% eficiência da utilização]]&gt;$Q$6,$R$6)</f>
        <v>10</v>
      </c>
      <c r="H4" s="202">
        <v>761769.24</v>
      </c>
      <c r="I4" s="168">
        <f>(SUMIFS('empreend 2019_2020'!$F:$F,'empreend 2019_2020'!$B:$B, 2020,'empreend 2019_2020'!$A:$A,Tabela5[[#This Row],[UGRHi]],'empreend 2019_2020'!$G:$G, "não") / Tabela5[[#This Row],[R$ disponível ]])</f>
        <v>1.1114182163616897</v>
      </c>
      <c r="K4" s="243" t="s">
        <v>37</v>
      </c>
      <c r="L4" s="244">
        <v>0.1</v>
      </c>
      <c r="M4" s="243">
        <v>4</v>
      </c>
      <c r="N4" s="103"/>
      <c r="O4" s="103"/>
      <c r="P4" s="182" t="s">
        <v>38</v>
      </c>
      <c r="Q4" s="116">
        <v>0.95</v>
      </c>
      <c r="R4" s="106">
        <v>6</v>
      </c>
      <c r="T4" s="296"/>
      <c r="U4" s="296"/>
    </row>
    <row r="5" spans="1:21" ht="20.25" customHeight="1">
      <c r="A5" s="114">
        <v>4</v>
      </c>
      <c r="B5" s="100">
        <f t="shared" si="0"/>
        <v>14</v>
      </c>
      <c r="C5" s="206" cm="1">
        <f t="array" ref="C5">_xlfn.IFS(F5=$L$2,M$2,F5&lt;=$L$3,M$3,F5&lt;=$L$4,M$4,F5&lt;=$L$5,M$5,F5&gt;$L$6,$M$6)</f>
        <v>4</v>
      </c>
      <c r="D5" s="115">
        <f>COUNTIFS('empreend 2019_2020'!$A:$A,Tabela5[[#This Row],[UGRHi]],'empreend 2019_2020'!B:B,2020)</f>
        <v>18</v>
      </c>
      <c r="E5" s="115">
        <f>COUNTIFS('empreend 2019_2020'!G:G,"Sim",'empreend 2019_2020'!A:A,Tabela5[[#This Row],[UGRHi]],'empreend 2019_2020'!B:B,2020)</f>
        <v>1</v>
      </c>
      <c r="F5" s="167">
        <f>Tabela5[[#This Row],[nº total empreendimentos devolvidos pela CRHI no ano anterior]]/Tabela5[[#This Row],[nº total empreendimentos indicados pelo CBH no ano anterior]]</f>
        <v>5.5555555555555552E-2</v>
      </c>
      <c r="G5" s="169" cm="1">
        <f t="array" ref="G5" xml:space="preserve"> _xlfn.IFS(Tabela5[[#This Row],[% eficiência da utilização]]&lt;=$Q$2,$R$2, Tabela5[[#This Row],[% eficiência da utilização]]&lt;=$Q$3,$R$3,Tabela5[[#This Row],[% eficiência da utilização]]&lt;=$Q$4,$R$4,Tabela5[[#This Row],[% eficiência da utilização]]&lt;=$Q$5,$R$5, Tabela5[[#This Row],[% eficiência da utilização]]&gt;$Q$6,$R$6)</f>
        <v>10</v>
      </c>
      <c r="H5" s="202">
        <v>5430782.0800000001</v>
      </c>
      <c r="I5" s="168">
        <f>(SUMIFS('empreend 2019_2020'!$F:$F,'empreend 2019_2020'!$B:$B, 2020,'empreend 2019_2020'!$A:$A,Tabela5[[#This Row],[UGRHi]],'empreend 2019_2020'!$G:$G, "não") / Tabela5[[#This Row],[R$ disponível ]])</f>
        <v>0.99753736390026548</v>
      </c>
      <c r="K5" s="243" t="s">
        <v>39</v>
      </c>
      <c r="L5" s="244">
        <v>0.15</v>
      </c>
      <c r="M5" s="243">
        <v>2</v>
      </c>
      <c r="N5" s="103"/>
      <c r="O5" s="103"/>
      <c r="P5" s="182" t="s">
        <v>40</v>
      </c>
      <c r="Q5" s="116">
        <v>0.99</v>
      </c>
      <c r="R5" s="106">
        <v>8</v>
      </c>
      <c r="T5" s="296"/>
      <c r="U5" s="296"/>
    </row>
    <row r="6" spans="1:21" ht="20.25" customHeight="1">
      <c r="A6" s="114">
        <v>5</v>
      </c>
      <c r="B6" s="100">
        <f t="shared" si="0"/>
        <v>20</v>
      </c>
      <c r="C6" s="206" cm="1">
        <f t="array" ref="C6">_xlfn.IFS(F6=$L$2,M$2,F6&lt;=$L$3,M$3,F6&lt;=$L$4,M$4,F6&lt;=$L$5,M$5,F6&gt;$L$6,$M$6)</f>
        <v>10</v>
      </c>
      <c r="D6" s="115">
        <f>COUNTIFS('empreend 2019_2020'!$A:$A,Tabela5[[#This Row],[UGRHi]],'empreend 2019_2020'!B:B,2020)</f>
        <v>10</v>
      </c>
      <c r="E6" s="115">
        <f>COUNTIFS('empreend 2019_2020'!G:G,"Sim",'empreend 2019_2020'!A:A,Tabela5[[#This Row],[UGRHi]],'empreend 2019_2020'!B:B,2020)</f>
        <v>0</v>
      </c>
      <c r="F6" s="167">
        <f>Tabela5[[#This Row],[nº total empreendimentos devolvidos pela CRHI no ano anterior]]/Tabela5[[#This Row],[nº total empreendimentos indicados pelo CBH no ano anterior]]</f>
        <v>0</v>
      </c>
      <c r="G6" s="169" cm="1">
        <f t="array" ref="G6" xml:space="preserve"> _xlfn.IFS(Tabela5[[#This Row],[% eficiência da utilização]]&lt;=$Q$2,$R$2, Tabela5[[#This Row],[% eficiência da utilização]]&lt;=$Q$3,$R$3,Tabela5[[#This Row],[% eficiência da utilização]]&lt;=$Q$4,$R$4,Tabela5[[#This Row],[% eficiência da utilização]]&lt;=$Q$5,$R$5, Tabela5[[#This Row],[% eficiência da utilização]]&gt;$Q$6,$R$6)</f>
        <v>10</v>
      </c>
      <c r="H6" s="202">
        <v>29070596.109999999</v>
      </c>
      <c r="I6" s="168">
        <f>(SUMIFS('empreend 2019_2020'!$F:$F,'empreend 2019_2020'!$B:$B, 2020,'empreend 2019_2020'!$A:$A,Tabela5[[#This Row],[UGRHi]],'empreend 2019_2020'!$G:$G, "não") / Tabela5[[#This Row],[R$ disponível ]])</f>
        <v>0.99931201961169558</v>
      </c>
      <c r="K6" s="243" t="s">
        <v>41</v>
      </c>
      <c r="L6" s="244">
        <v>0.15</v>
      </c>
      <c r="M6" s="243">
        <v>0</v>
      </c>
      <c r="N6" s="103"/>
      <c r="O6" s="117"/>
      <c r="P6" s="182" t="s">
        <v>42</v>
      </c>
      <c r="Q6" s="116">
        <v>0.99</v>
      </c>
      <c r="R6" s="106">
        <v>10</v>
      </c>
      <c r="T6" s="296"/>
      <c r="U6" s="296"/>
    </row>
    <row r="7" spans="1:21" ht="20.25" customHeight="1">
      <c r="A7" s="114">
        <v>6</v>
      </c>
      <c r="B7" s="100">
        <f t="shared" si="0"/>
        <v>4</v>
      </c>
      <c r="C7" s="206" cm="1">
        <f t="array" ref="C7">_xlfn.IFS(F7=$L$2,M$2,F7&lt;=$L$3,M$3,F7&lt;=$L$4,M$4,F7&lt;=$L$5,M$5,F7&gt;$L$6,$M$6)</f>
        <v>4</v>
      </c>
      <c r="D7" s="115">
        <f>COUNTIFS('empreend 2019_2020'!$A:$A,Tabela5[[#This Row],[UGRHi]],'empreend 2019_2020'!B:B,2020)</f>
        <v>31</v>
      </c>
      <c r="E7" s="115">
        <f>COUNTIFS('empreend 2019_2020'!G:G,"Sim",'empreend 2019_2020'!A:A,Tabela5[[#This Row],[UGRHi]],'empreend 2019_2020'!B:B,2020)</f>
        <v>2</v>
      </c>
      <c r="F7" s="167">
        <f>Tabela5[[#This Row],[nº total empreendimentos devolvidos pela CRHI no ano anterior]]/Tabela5[[#This Row],[nº total empreendimentos indicados pelo CBH no ano anterior]]</f>
        <v>6.4516129032258063E-2</v>
      </c>
      <c r="G7" s="169" cm="1">
        <f t="array" ref="G7" xml:space="preserve"> _xlfn.IFS(Tabela5[[#This Row],[% eficiência da utilização]]&lt;=$Q$2,$R$2, Tabela5[[#This Row],[% eficiência da utilização]]&lt;=$Q$3,$R$3,Tabela5[[#This Row],[% eficiência da utilização]]&lt;=$Q$4,$R$4,Tabela5[[#This Row],[% eficiência da utilização]]&lt;=$Q$5,$R$5, Tabela5[[#This Row],[% eficiência da utilização]]&gt;$Q$6,$R$6)</f>
        <v>0</v>
      </c>
      <c r="H7" s="202">
        <v>140197163.06999999</v>
      </c>
      <c r="I7" s="168">
        <f>(SUMIFS('empreend 2019_2020'!$F:$F,'empreend 2019_2020'!$B:$B, 2020,'empreend 2019_2020'!$A:$A,Tabela5[[#This Row],[UGRHi]],'empreend 2019_2020'!$G:$G, "não") / Tabela5[[#This Row],[R$ disponível ]])</f>
        <v>0.65016784893491952</v>
      </c>
      <c r="K7" s="103"/>
      <c r="L7" s="103"/>
      <c r="M7" s="103"/>
      <c r="N7" s="103"/>
      <c r="O7" s="117"/>
      <c r="P7" s="117"/>
      <c r="Q7" s="117"/>
      <c r="R7" s="117"/>
      <c r="T7" s="297"/>
      <c r="U7" s="297"/>
    </row>
    <row r="8" spans="1:21" ht="21" customHeight="1">
      <c r="A8" s="114">
        <v>7</v>
      </c>
      <c r="B8" s="100">
        <f t="shared" si="0"/>
        <v>0</v>
      </c>
      <c r="C8" s="206" cm="1">
        <f t="array" ref="C8">_xlfn.IFS(F8=$L$2,M$2,F8&lt;=$L$3,M$3,F8&lt;=$L$4,M$4,F8&lt;=$L$5,M$5,F8&gt;$L$6,$M$6)</f>
        <v>0</v>
      </c>
      <c r="D8" s="115">
        <f>COUNTIFS('empreend 2019_2020'!$A:$A,Tabela5[[#This Row],[UGRHi]],'empreend 2019_2020'!B:B,2020)</f>
        <v>8</v>
      </c>
      <c r="E8" s="115">
        <f>COUNTIFS('empreend 2019_2020'!G:G,"Sim",'empreend 2019_2020'!A:A,Tabela5[[#This Row],[UGRHi]],'empreend 2019_2020'!B:B,2020)</f>
        <v>2</v>
      </c>
      <c r="F8" s="167">
        <f>Tabela5[[#This Row],[nº total empreendimentos devolvidos pela CRHI no ano anterior]]/Tabela5[[#This Row],[nº total empreendimentos indicados pelo CBH no ano anterior]]</f>
        <v>0.25</v>
      </c>
      <c r="G8" s="169" cm="1">
        <f t="array" ref="G8" xml:space="preserve"> _xlfn.IFS(Tabela5[[#This Row],[% eficiência da utilização]]&lt;=$Q$2,$R$2, Tabela5[[#This Row],[% eficiência da utilização]]&lt;=$Q$3,$R$3,Tabela5[[#This Row],[% eficiência da utilização]]&lt;=$Q$4,$R$4,Tabela5[[#This Row],[% eficiência da utilização]]&lt;=$Q$5,$R$5, Tabela5[[#This Row],[% eficiência da utilização]]&gt;$Q$6,$R$6)</f>
        <v>0</v>
      </c>
      <c r="H8" s="202">
        <v>14092055.85</v>
      </c>
      <c r="I8" s="168">
        <f>(SUMIFS('empreend 2019_2020'!$F:$F,'empreend 2019_2020'!$B:$B, 2020,'empreend 2019_2020'!$A:$A,Tabela5[[#This Row],[UGRHi]],'empreend 2019_2020'!$G:$G, "não") / Tabela5[[#This Row],[R$ disponível ]])</f>
        <v>0.38994235181093179</v>
      </c>
      <c r="K8" s="103"/>
      <c r="L8" s="103"/>
      <c r="M8" s="103"/>
      <c r="N8" s="103"/>
      <c r="O8" s="103"/>
      <c r="P8" s="103"/>
      <c r="Q8" s="117"/>
      <c r="R8" s="103"/>
    </row>
    <row r="9" spans="1:21" ht="20.25" customHeight="1">
      <c r="A9" s="114">
        <v>8</v>
      </c>
      <c r="B9" s="100">
        <f t="shared" si="0"/>
        <v>0</v>
      </c>
      <c r="C9" s="206" cm="1">
        <f t="array" ref="C9">_xlfn.IFS(F9=$L$2,M$2,F9&lt;=$L$3,M$3,F9&lt;=$L$4,M$4,F9&lt;=$L$5,M$5,F9&gt;$L$6,$M$6)</f>
        <v>0</v>
      </c>
      <c r="D9" s="115">
        <f>COUNTIFS('empreend 2019_2020'!$A:$A,Tabela5[[#This Row],[UGRHi]],'empreend 2019_2020'!B:B,2020)</f>
        <v>7</v>
      </c>
      <c r="E9" s="115">
        <f>COUNTIFS('empreend 2019_2020'!G:G,"Sim",'empreend 2019_2020'!A:A,Tabela5[[#This Row],[UGRHi]],'empreend 2019_2020'!B:B,2020)</f>
        <v>2</v>
      </c>
      <c r="F9" s="167">
        <f>Tabela5[[#This Row],[nº total empreendimentos devolvidos pela CRHI no ano anterior]]/Tabela5[[#This Row],[nº total empreendimentos indicados pelo CBH no ano anterior]]</f>
        <v>0.2857142857142857</v>
      </c>
      <c r="G9" s="169" cm="1">
        <f t="array" ref="G9" xml:space="preserve"> _xlfn.IFS(Tabela5[[#This Row],[% eficiência da utilização]]&lt;=$Q$2,$R$2, Tabela5[[#This Row],[% eficiência da utilização]]&lt;=$Q$3,$R$3,Tabela5[[#This Row],[% eficiência da utilização]]&lt;=$Q$4,$R$4,Tabela5[[#This Row],[% eficiência da utilização]]&lt;=$Q$5,$R$5, Tabela5[[#This Row],[% eficiência da utilização]]&gt;$Q$6,$R$6)</f>
        <v>0</v>
      </c>
      <c r="H9" s="202">
        <v>2545553.8899999997</v>
      </c>
      <c r="I9" s="168">
        <f>(SUMIFS('empreend 2019_2020'!$F:$F,'empreend 2019_2020'!$B:$B, 2020,'empreend 2019_2020'!$A:$A,Tabela5[[#This Row],[UGRHi]],'empreend 2019_2020'!$G:$G, "não") / Tabela5[[#This Row],[R$ disponível ]])</f>
        <v>0.83256340332280299</v>
      </c>
      <c r="K9" s="103"/>
      <c r="L9" s="103"/>
      <c r="M9" s="103"/>
      <c r="N9" s="103"/>
      <c r="O9" s="103"/>
      <c r="P9" s="103"/>
      <c r="Q9" s="117"/>
      <c r="R9" s="103"/>
    </row>
    <row r="10" spans="1:21" ht="20.25" customHeight="1">
      <c r="A10" s="114">
        <v>9</v>
      </c>
      <c r="B10" s="100">
        <f t="shared" si="0"/>
        <v>10</v>
      </c>
      <c r="C10" s="206" cm="1">
        <f t="array" ref="C10">_xlfn.IFS(F10=$L$2,M$2,F10&lt;=$L$3,M$3,F10&lt;=$L$4,M$4,F10&lt;=$L$5,M$5,F10&gt;$L$6,$M$6)</f>
        <v>10</v>
      </c>
      <c r="D10" s="115">
        <f>COUNTIFS('empreend 2019_2020'!$A:$A,Tabela5[[#This Row],[UGRHi]],'empreend 2019_2020'!B:B,2020)</f>
        <v>14</v>
      </c>
      <c r="E10" s="115">
        <f>COUNTIFS('empreend 2019_2020'!G:G,"Sim",'empreend 2019_2020'!A:A,Tabela5[[#This Row],[UGRHi]],'empreend 2019_2020'!B:B,2020)</f>
        <v>0</v>
      </c>
      <c r="F10" s="167">
        <f>Tabela5[[#This Row],[nº total empreendimentos devolvidos pela CRHI no ano anterior]]/Tabela5[[#This Row],[nº total empreendimentos indicados pelo CBH no ano anterior]]</f>
        <v>0</v>
      </c>
      <c r="G10" s="169" cm="1">
        <f t="array" ref="G10" xml:space="preserve"> _xlfn.IFS(Tabela5[[#This Row],[% eficiência da utilização]]&lt;=$Q$2,$R$2, Tabela5[[#This Row],[% eficiência da utilização]]&lt;=$Q$3,$R$3,Tabela5[[#This Row],[% eficiência da utilização]]&lt;=$Q$4,$R$4,Tabela5[[#This Row],[% eficiência da utilização]]&lt;=$Q$5,$R$5, Tabela5[[#This Row],[% eficiência da utilização]]&gt;$Q$6,$R$6)</f>
        <v>0</v>
      </c>
      <c r="H10" s="202">
        <v>7296503.4900000002</v>
      </c>
      <c r="I10" s="168">
        <f>(SUMIFS('empreend 2019_2020'!$F:$F,'empreend 2019_2020'!$B:$B, 2020,'empreend 2019_2020'!$A:$A,Tabela5[[#This Row],[UGRHi]],'empreend 2019_2020'!$G:$G, "não") / Tabela5[[#This Row],[R$ disponível ]])</f>
        <v>0.69863302292479257</v>
      </c>
      <c r="K10" s="103"/>
      <c r="L10" s="103"/>
      <c r="M10" s="103"/>
      <c r="N10" s="103"/>
      <c r="O10" s="103"/>
      <c r="P10" s="103"/>
      <c r="Q10" s="117"/>
      <c r="R10" s="103"/>
    </row>
    <row r="11" spans="1:21" ht="20.25" customHeight="1">
      <c r="A11" s="114">
        <v>10</v>
      </c>
      <c r="B11" s="100">
        <f t="shared" si="0"/>
        <v>18</v>
      </c>
      <c r="C11" s="206" cm="1">
        <f t="array" ref="C11">_xlfn.IFS(F11=$L$2,M$2,F11&lt;=$L$3,M$3,F11&lt;=$L$4,M$4,F11&lt;=$L$5,M$5,F11&gt;$L$6,$M$6)</f>
        <v>10</v>
      </c>
      <c r="D11" s="115">
        <f>COUNTIFS('empreend 2019_2020'!$A:$A,Tabela5[[#This Row],[UGRHi]],'empreend 2019_2020'!B:B,2020)</f>
        <v>20</v>
      </c>
      <c r="E11" s="115">
        <f>COUNTIFS('empreend 2019_2020'!G:G,"Sim",'empreend 2019_2020'!A:A,Tabela5[[#This Row],[UGRHi]],'empreend 2019_2020'!B:B,2020)</f>
        <v>0</v>
      </c>
      <c r="F11" s="167">
        <f>Tabela5[[#This Row],[nº total empreendimentos devolvidos pela CRHI no ano anterior]]/Tabela5[[#This Row],[nº total empreendimentos indicados pelo CBH no ano anterior]]</f>
        <v>0</v>
      </c>
      <c r="G11" s="169" cm="1">
        <f t="array" ref="G11" xml:space="preserve"> _xlfn.IFS(Tabela5[[#This Row],[% eficiência da utilização]]&lt;=$Q$2,$R$2, Tabela5[[#This Row],[% eficiência da utilização]]&lt;=$Q$3,$R$3,Tabela5[[#This Row],[% eficiência da utilização]]&lt;=$Q$4,$R$4,Tabela5[[#This Row],[% eficiência da utilização]]&lt;=$Q$5,$R$5, Tabela5[[#This Row],[% eficiência da utilização]]&gt;$Q$6,$R$6)</f>
        <v>8</v>
      </c>
      <c r="H11" s="202">
        <v>21457962.960000001</v>
      </c>
      <c r="I11" s="168">
        <f>(SUMIFS('empreend 2019_2020'!$F:$F,'empreend 2019_2020'!$B:$B, 2020,'empreend 2019_2020'!$A:$A,Tabela5[[#This Row],[UGRHi]],'empreend 2019_2020'!$G:$G, "não") / Tabela5[[#This Row],[R$ disponível ]])</f>
        <v>0.96734361964804128</v>
      </c>
      <c r="K11" s="103"/>
      <c r="L11" s="103"/>
      <c r="M11" s="103"/>
      <c r="N11" s="103"/>
      <c r="O11" s="103"/>
      <c r="P11" s="103"/>
      <c r="Q11" s="117"/>
      <c r="R11" s="103"/>
    </row>
    <row r="12" spans="1:21" ht="20.25" customHeight="1">
      <c r="A12" s="114">
        <v>11</v>
      </c>
      <c r="B12" s="100">
        <f t="shared" si="0"/>
        <v>10</v>
      </c>
      <c r="C12" s="206" cm="1">
        <f t="array" ref="C12">_xlfn.IFS(F12=$L$2,M$2,F12&lt;=$L$3,M$3,F12&lt;=$L$4,M$4,F12&lt;=$L$5,M$5,F12&gt;$L$6,$M$6)</f>
        <v>2</v>
      </c>
      <c r="D12" s="115">
        <f>COUNTIFS('empreend 2019_2020'!$A:$A,Tabela5[[#This Row],[UGRHi]],'empreend 2019_2020'!B:B,2020)</f>
        <v>24</v>
      </c>
      <c r="E12" s="115">
        <f>COUNTIFS('empreend 2019_2020'!G:G,"Sim",'empreend 2019_2020'!A:A,Tabela5[[#This Row],[UGRHi]],'empreend 2019_2020'!B:B,2020)</f>
        <v>3</v>
      </c>
      <c r="F12" s="167">
        <f>Tabela5[[#This Row],[nº total empreendimentos devolvidos pela CRHI no ano anterior]]/Tabela5[[#This Row],[nº total empreendimentos indicados pelo CBH no ano anterior]]</f>
        <v>0.125</v>
      </c>
      <c r="G12" s="169" cm="1">
        <f t="array" ref="G12" xml:space="preserve"> _xlfn.IFS(Tabela5[[#This Row],[% eficiência da utilização]]&lt;=$Q$2,$R$2, Tabela5[[#This Row],[% eficiência da utilização]]&lt;=$Q$3,$R$3,Tabela5[[#This Row],[% eficiência da utilização]]&lt;=$Q$4,$R$4,Tabela5[[#This Row],[% eficiência da utilização]]&lt;=$Q$5,$R$5, Tabela5[[#This Row],[% eficiência da utilização]]&gt;$Q$6,$R$6)</f>
        <v>8</v>
      </c>
      <c r="H12" s="202">
        <v>7305259.2000000002</v>
      </c>
      <c r="I12" s="168">
        <f>(SUMIFS('empreend 2019_2020'!$F:$F,'empreend 2019_2020'!$B:$B, 2020,'empreend 2019_2020'!$A:$A,Tabela5[[#This Row],[UGRHi]],'empreend 2019_2020'!$G:$G, "não") / Tabela5[[#This Row],[R$ disponível ]])</f>
        <v>0.98284602139784438</v>
      </c>
      <c r="K12" s="103"/>
      <c r="L12" s="103"/>
      <c r="M12" s="103"/>
      <c r="N12" s="103"/>
      <c r="O12" s="103"/>
      <c r="P12" s="103"/>
      <c r="Q12" s="117"/>
      <c r="R12" s="103"/>
    </row>
    <row r="13" spans="1:21" ht="20.25" customHeight="1">
      <c r="A13" s="114">
        <v>12</v>
      </c>
      <c r="B13" s="100">
        <f t="shared" si="0"/>
        <v>16</v>
      </c>
      <c r="C13" s="206" cm="1">
        <f t="array" ref="C13">_xlfn.IFS(F13=$L$2,M$2,F13&lt;=$L$3,M$3,F13&lt;=$L$4,M$4,F13&lt;=$L$5,M$5,F13&gt;$L$6,$M$6)</f>
        <v>10</v>
      </c>
      <c r="D13" s="115">
        <f>COUNTIFS('empreend 2019_2020'!$A:$A,Tabela5[[#This Row],[UGRHi]],'empreend 2019_2020'!B:B,2020)</f>
        <v>5</v>
      </c>
      <c r="E13" s="115">
        <f>COUNTIFS('empreend 2019_2020'!G:G,"Sim",'empreend 2019_2020'!A:A,Tabela5[[#This Row],[UGRHi]],'empreend 2019_2020'!B:B,2020)</f>
        <v>0</v>
      </c>
      <c r="F13" s="167">
        <f>Tabela5[[#This Row],[nº total empreendimentos devolvidos pela CRHI no ano anterior]]/Tabela5[[#This Row],[nº total empreendimentos indicados pelo CBH no ano anterior]]</f>
        <v>0</v>
      </c>
      <c r="G13" s="169" cm="1">
        <f t="array" ref="G13" xml:space="preserve"> _xlfn.IFS(Tabela5[[#This Row],[% eficiência da utilização]]&lt;=$Q$2,$R$2, Tabela5[[#This Row],[% eficiência da utilização]]&lt;=$Q$3,$R$3,Tabela5[[#This Row],[% eficiência da utilização]]&lt;=$Q$4,$R$4,Tabela5[[#This Row],[% eficiência da utilização]]&lt;=$Q$5,$R$5, Tabela5[[#This Row],[% eficiência da utilização]]&gt;$Q$6,$R$6)</f>
        <v>6</v>
      </c>
      <c r="H13" s="202">
        <v>1830979.6600000001</v>
      </c>
      <c r="I13" s="168">
        <f>(SUMIFS('empreend 2019_2020'!$F:$F,'empreend 2019_2020'!$B:$B, 2020,'empreend 2019_2020'!$A:$A,Tabela5[[#This Row],[UGRHi]],'empreend 2019_2020'!$G:$G, "não") / Tabela5[[#This Row],[R$ disponível ]])</f>
        <v>0.94615725004831552</v>
      </c>
      <c r="K13" s="103"/>
      <c r="L13" s="103"/>
      <c r="M13" s="103"/>
      <c r="N13" s="103"/>
      <c r="O13" s="103"/>
      <c r="P13" s="103"/>
      <c r="Q13" s="117"/>
      <c r="R13" s="103"/>
    </row>
    <row r="14" spans="1:21" ht="20.25" customHeight="1">
      <c r="A14" s="114">
        <v>13</v>
      </c>
      <c r="B14" s="100">
        <f t="shared" si="0"/>
        <v>8</v>
      </c>
      <c r="C14" s="206" cm="1">
        <f t="array" ref="C14">_xlfn.IFS(F14=$L$2,M$2,F14&lt;=$L$3,M$3,F14&lt;=$L$4,M$4,F14&lt;=$L$5,M$5,F14&gt;$L$6,$M$6)</f>
        <v>0</v>
      </c>
      <c r="D14" s="115">
        <f>COUNTIFS('empreend 2019_2020'!$A:$A,Tabela5[[#This Row],[UGRHi]],'empreend 2019_2020'!B:B,2020)</f>
        <v>20</v>
      </c>
      <c r="E14" s="115">
        <f>COUNTIFS('empreend 2019_2020'!G:G,"Sim",'empreend 2019_2020'!A:A,Tabela5[[#This Row],[UGRHi]],'empreend 2019_2020'!B:B,2020)</f>
        <v>4</v>
      </c>
      <c r="F14" s="167">
        <f>Tabela5[[#This Row],[nº total empreendimentos devolvidos pela CRHI no ano anterior]]/Tabela5[[#This Row],[nº total empreendimentos indicados pelo CBH no ano anterior]]</f>
        <v>0.2</v>
      </c>
      <c r="G14" s="169" cm="1">
        <f t="array" ref="G14" xml:space="preserve"> _xlfn.IFS(Tabela5[[#This Row],[% eficiência da utilização]]&lt;=$Q$2,$R$2, Tabela5[[#This Row],[% eficiência da utilização]]&lt;=$Q$3,$R$3,Tabela5[[#This Row],[% eficiência da utilização]]&lt;=$Q$4,$R$4,Tabela5[[#This Row],[% eficiência da utilização]]&lt;=$Q$5,$R$5, Tabela5[[#This Row],[% eficiência da utilização]]&gt;$Q$6,$R$6)</f>
        <v>8</v>
      </c>
      <c r="H14" s="202">
        <v>7540433.8799999999</v>
      </c>
      <c r="I14" s="168">
        <f>(SUMIFS('empreend 2019_2020'!$F:$F,'empreend 2019_2020'!$B:$B, 2020,'empreend 2019_2020'!$A:$A,Tabela5[[#This Row],[UGRHi]],'empreend 2019_2020'!$G:$G, "não") / Tabela5[[#This Row],[R$ disponível ]])</f>
        <v>0.97787132111289066</v>
      </c>
      <c r="K14" s="103"/>
      <c r="L14" s="103"/>
      <c r="M14" s="103"/>
      <c r="N14" s="103"/>
      <c r="O14" s="103"/>
      <c r="P14" s="103"/>
      <c r="Q14" s="117"/>
      <c r="R14" s="103"/>
    </row>
    <row r="15" spans="1:21" ht="20.25" customHeight="1">
      <c r="A15" s="114">
        <v>14</v>
      </c>
      <c r="B15" s="100">
        <f t="shared" si="0"/>
        <v>0</v>
      </c>
      <c r="C15" s="206" cm="1">
        <f t="array" ref="C15">_xlfn.IFS(F15=$L$2,M$2,F15&lt;=$L$3,M$3,F15&lt;=$L$4,M$4,F15&lt;=$L$5,M$5,F15&gt;$L$6,$M$6)</f>
        <v>0</v>
      </c>
      <c r="D15" s="115">
        <f>COUNTIFS('empreend 2019_2020'!$A:$A,Tabela5[[#This Row],[UGRHi]],'empreend 2019_2020'!B:B,2020)</f>
        <v>6</v>
      </c>
      <c r="E15" s="115">
        <f>COUNTIFS('empreend 2019_2020'!G:G,"Sim",'empreend 2019_2020'!A:A,Tabela5[[#This Row],[UGRHi]],'empreend 2019_2020'!B:B,2020)</f>
        <v>2</v>
      </c>
      <c r="F15" s="167">
        <f>Tabela5[[#This Row],[nº total empreendimentos devolvidos pela CRHI no ano anterior]]/Tabela5[[#This Row],[nº total empreendimentos indicados pelo CBH no ano anterior]]</f>
        <v>0.33333333333333331</v>
      </c>
      <c r="G15" s="169" cm="1">
        <f t="array" ref="G15" xml:space="preserve"> _xlfn.IFS(Tabela5[[#This Row],[% eficiência da utilização]]&lt;=$Q$2,$R$2, Tabela5[[#This Row],[% eficiência da utilização]]&lt;=$Q$3,$R$3,Tabela5[[#This Row],[% eficiência da utilização]]&lt;=$Q$4,$R$4,Tabela5[[#This Row],[% eficiência da utilização]]&lt;=$Q$5,$R$5, Tabela5[[#This Row],[% eficiência da utilização]]&gt;$Q$6,$R$6)</f>
        <v>0</v>
      </c>
      <c r="H15" s="202">
        <v>2934799.7800000003</v>
      </c>
      <c r="I15" s="168">
        <f>(SUMIFS('empreend 2019_2020'!$F:$F,'empreend 2019_2020'!$B:$B, 2020,'empreend 2019_2020'!$A:$A,Tabela5[[#This Row],[UGRHi]],'empreend 2019_2020'!$G:$G, "não") / Tabela5[[#This Row],[R$ disponível ]])</f>
        <v>0.33103208832869674</v>
      </c>
      <c r="K15" s="103"/>
      <c r="L15" s="103"/>
      <c r="M15" s="103"/>
      <c r="N15" s="103"/>
      <c r="O15" s="103"/>
      <c r="P15" s="103"/>
      <c r="Q15" s="117"/>
      <c r="R15" s="103"/>
    </row>
    <row r="16" spans="1:21" ht="20.25" customHeight="1">
      <c r="A16" s="114">
        <v>15</v>
      </c>
      <c r="B16" s="100">
        <f t="shared" si="0"/>
        <v>10</v>
      </c>
      <c r="C16" s="206" cm="1">
        <f t="array" ref="C16">_xlfn.IFS(F16=$L$2,M$2,F16&lt;=$L$3,M$3,F16&lt;=$L$4,M$4,F16&lt;=$L$5,M$5,F16&gt;$L$6,$M$6)</f>
        <v>10</v>
      </c>
      <c r="D16" s="115">
        <f>COUNTIFS('empreend 2019_2020'!$A:$A,Tabela5[[#This Row],[UGRHi]],'empreend 2019_2020'!B:B,2020)</f>
        <v>3</v>
      </c>
      <c r="E16" s="115">
        <f>COUNTIFS('empreend 2019_2020'!G:G,"Sim",'empreend 2019_2020'!A:A,Tabela5[[#This Row],[UGRHi]],'empreend 2019_2020'!B:B,2020)</f>
        <v>0</v>
      </c>
      <c r="F16" s="167">
        <f>Tabela5[[#This Row],[nº total empreendimentos devolvidos pela CRHI no ano anterior]]/Tabela5[[#This Row],[nº total empreendimentos indicados pelo CBH no ano anterior]]</f>
        <v>0</v>
      </c>
      <c r="G16" s="169" cm="1">
        <f t="array" ref="G16" xml:space="preserve"> _xlfn.IFS(Tabela5[[#This Row],[% eficiência da utilização]]&lt;=$Q$2,$R$2, Tabela5[[#This Row],[% eficiência da utilização]]&lt;=$Q$3,$R$3,Tabela5[[#This Row],[% eficiência da utilização]]&lt;=$Q$4,$R$4,Tabela5[[#This Row],[% eficiência da utilização]]&lt;=$Q$5,$R$5, Tabela5[[#This Row],[% eficiência da utilização]]&gt;$Q$6,$R$6)</f>
        <v>0</v>
      </c>
      <c r="H16" s="202">
        <v>7413007.4199999999</v>
      </c>
      <c r="I16" s="168">
        <f>(SUMIFS('empreend 2019_2020'!$F:$F,'empreend 2019_2020'!$B:$B, 2020,'empreend 2019_2020'!$A:$A,Tabela5[[#This Row],[UGRHi]],'empreend 2019_2020'!$G:$G, "não") / Tabela5[[#This Row],[R$ disponível ]])</f>
        <v>0.14651816037167814</v>
      </c>
      <c r="L16" s="103"/>
      <c r="M16" s="103"/>
      <c r="N16" s="103"/>
      <c r="O16" s="103"/>
      <c r="P16" s="103"/>
      <c r="Q16" s="117"/>
      <c r="R16" s="103"/>
    </row>
    <row r="17" spans="1:18" ht="20.25" customHeight="1">
      <c r="A17" s="114">
        <v>16</v>
      </c>
      <c r="B17" s="100">
        <f t="shared" si="0"/>
        <v>10</v>
      </c>
      <c r="C17" s="206" cm="1">
        <f t="array" ref="C17">_xlfn.IFS(F17=$L$2,M$2,F17&lt;=$L$3,M$3,F17&lt;=$L$4,M$4,F17&lt;=$L$5,M$5,F17&gt;$L$6,$M$6)</f>
        <v>0</v>
      </c>
      <c r="D17" s="115">
        <f>COUNTIFS('empreend 2019_2020'!$A:$A,Tabela5[[#This Row],[UGRHi]],'empreend 2019_2020'!B:B,2020)</f>
        <v>12</v>
      </c>
      <c r="E17" s="115">
        <f>COUNTIFS('empreend 2019_2020'!G:G,"Sim",'empreend 2019_2020'!A:A,Tabela5[[#This Row],[UGRHi]],'empreend 2019_2020'!B:B,2020)</f>
        <v>2</v>
      </c>
      <c r="F17" s="167">
        <f>Tabela5[[#This Row],[nº total empreendimentos devolvidos pela CRHI no ano anterior]]/Tabela5[[#This Row],[nº total empreendimentos indicados pelo CBH no ano anterior]]</f>
        <v>0.16666666666666666</v>
      </c>
      <c r="G17" s="169" cm="1">
        <f t="array" ref="G17" xml:space="preserve"> _xlfn.IFS(Tabela5[[#This Row],[% eficiência da utilização]]&lt;=$Q$2,$R$2, Tabela5[[#This Row],[% eficiência da utilização]]&lt;=$Q$3,$R$3,Tabela5[[#This Row],[% eficiência da utilização]]&lt;=$Q$4,$R$4,Tabela5[[#This Row],[% eficiência da utilização]]&lt;=$Q$5,$R$5, Tabela5[[#This Row],[% eficiência da utilização]]&gt;$Q$6,$R$6)</f>
        <v>10</v>
      </c>
      <c r="H17" s="202">
        <v>3993084.2399999998</v>
      </c>
      <c r="I17" s="168">
        <f>(SUMIFS('empreend 2019_2020'!$F:$F,'empreend 2019_2020'!$B:$B, 2020,'empreend 2019_2020'!$A:$A,Tabela5[[#This Row],[UGRHi]],'empreend 2019_2020'!$G:$G, "não") / Tabela5[[#This Row],[R$ disponível ]])</f>
        <v>1.0400233629932136</v>
      </c>
      <c r="L17" s="103"/>
      <c r="M17" s="103"/>
      <c r="N17" s="103"/>
      <c r="O17" s="103"/>
      <c r="P17" s="103"/>
      <c r="Q17" s="103"/>
      <c r="R17" s="103"/>
    </row>
    <row r="18" spans="1:18" ht="20.25" customHeight="1">
      <c r="A18" s="114">
        <v>17</v>
      </c>
      <c r="B18" s="100">
        <f t="shared" si="0"/>
        <v>0</v>
      </c>
      <c r="C18" s="206" cm="1">
        <f t="array" ref="C18">_xlfn.IFS(F18=$L$2,M$2,F18&lt;=$L$3,M$3,F18&lt;=$L$4,M$4,F18&lt;=$L$5,M$5,F18&gt;$L$6,$M$6)</f>
        <v>0</v>
      </c>
      <c r="D18" s="115">
        <f>COUNTIFS('empreend 2019_2020'!$A:$A,Tabela5[[#This Row],[UGRHi]],'empreend 2019_2020'!B:B,2020)</f>
        <v>10</v>
      </c>
      <c r="E18" s="115">
        <f>COUNTIFS('empreend 2019_2020'!G:G,"Sim",'empreend 2019_2020'!A:A,Tabela5[[#This Row],[UGRHi]],'empreend 2019_2020'!B:B,2020)</f>
        <v>2</v>
      </c>
      <c r="F18" s="167">
        <f>Tabela5[[#This Row],[nº total empreendimentos devolvidos pela CRHI no ano anterior]]/Tabela5[[#This Row],[nº total empreendimentos indicados pelo CBH no ano anterior]]</f>
        <v>0.2</v>
      </c>
      <c r="G18" s="169" cm="1">
        <f t="array" ref="G18" xml:space="preserve"> _xlfn.IFS(Tabela5[[#This Row],[% eficiência da utilização]]&lt;=$Q$2,$R$2, Tabela5[[#This Row],[% eficiência da utilização]]&lt;=$Q$3,$R$3,Tabela5[[#This Row],[% eficiência da utilização]]&lt;=$Q$4,$R$4,Tabela5[[#This Row],[% eficiência da utilização]]&lt;=$Q$5,$R$5, Tabela5[[#This Row],[% eficiência da utilização]]&gt;$Q$6,$R$6)</f>
        <v>0</v>
      </c>
      <c r="H18" s="202">
        <v>3338764.25</v>
      </c>
      <c r="I18" s="168">
        <f>(SUMIFS('empreend 2019_2020'!$F:$F,'empreend 2019_2020'!$B:$B, 2020,'empreend 2019_2020'!$A:$A,Tabela5[[#This Row],[UGRHi]],'empreend 2019_2020'!$G:$G, "não") / Tabela5[[#This Row],[R$ disponível ]])</f>
        <v>0.77637339922996962</v>
      </c>
      <c r="L18" s="103"/>
      <c r="M18" s="103"/>
      <c r="N18" s="103"/>
      <c r="O18" s="103"/>
      <c r="P18" s="103"/>
      <c r="Q18" s="103"/>
      <c r="R18" s="103"/>
    </row>
    <row r="19" spans="1:18" ht="20.25" customHeight="1">
      <c r="A19" s="114">
        <v>18</v>
      </c>
      <c r="B19" s="100">
        <f t="shared" si="0"/>
        <v>10</v>
      </c>
      <c r="C19" s="206" cm="1">
        <f t="array" ref="C19">_xlfn.IFS(F19=$L$2,M$2,F19&lt;=$L$3,M$3,F19&lt;=$L$4,M$4,F19&lt;=$L$5,M$5,F19&gt;$L$6,$M$6)</f>
        <v>10</v>
      </c>
      <c r="D19" s="115">
        <f>COUNTIFS('empreend 2019_2020'!$A:$A,Tabela5[[#This Row],[UGRHi]],'empreend 2019_2020'!B:B,2020)</f>
        <v>1</v>
      </c>
      <c r="E19" s="115">
        <f>COUNTIFS('empreend 2019_2020'!G:G,"Sim",'empreend 2019_2020'!A:A,Tabela5[[#This Row],[UGRHi]],'empreend 2019_2020'!B:B,2020)</f>
        <v>0</v>
      </c>
      <c r="F19" s="167">
        <f>Tabela5[[#This Row],[nº total empreendimentos devolvidos pela CRHI no ano anterior]]/Tabela5[[#This Row],[nº total empreendimentos indicados pelo CBH no ano anterior]]</f>
        <v>0</v>
      </c>
      <c r="G19" s="169" cm="1">
        <f t="array" ref="G19" xml:space="preserve"> _xlfn.IFS(Tabela5[[#This Row],[% eficiência da utilização]]&lt;=$Q$2,$R$2, Tabela5[[#This Row],[% eficiência da utilização]]&lt;=$Q$3,$R$3,Tabela5[[#This Row],[% eficiência da utilização]]&lt;=$Q$4,$R$4,Tabela5[[#This Row],[% eficiência da utilização]]&lt;=$Q$5,$R$5, Tabela5[[#This Row],[% eficiência da utilização]]&gt;$Q$6,$R$6)</f>
        <v>0</v>
      </c>
      <c r="H19" s="202">
        <v>616113.75</v>
      </c>
      <c r="I19" s="168">
        <f>(SUMIFS('empreend 2019_2020'!$F:$F,'empreend 2019_2020'!$B:$B, 2020,'empreend 2019_2020'!$A:$A,Tabela5[[#This Row],[UGRHi]],'empreend 2019_2020'!$G:$G, "não") / Tabela5[[#This Row],[R$ disponível ]])</f>
        <v>0.36470396903169261</v>
      </c>
      <c r="L19" s="103"/>
      <c r="M19" s="103"/>
      <c r="N19" s="103"/>
      <c r="O19" s="103"/>
      <c r="P19" s="103"/>
      <c r="Q19" s="103"/>
      <c r="R19" s="103"/>
    </row>
    <row r="20" spans="1:18" ht="20.25" customHeight="1">
      <c r="A20" s="114">
        <v>19</v>
      </c>
      <c r="B20" s="100">
        <f t="shared" si="0"/>
        <v>10</v>
      </c>
      <c r="C20" s="206" cm="1">
        <f t="array" ref="C20">_xlfn.IFS(F20=$L$2,M$2,F20&lt;=$L$3,M$3,F20&lt;=$L$4,M$4,F20&lt;=$L$5,M$5,F20&gt;$L$6,$M$6)</f>
        <v>0</v>
      </c>
      <c r="D20" s="115">
        <f>COUNTIFS('empreend 2019_2020'!$A:$A,Tabela5[[#This Row],[UGRHi]],'empreend 2019_2020'!B:B,2020)</f>
        <v>24</v>
      </c>
      <c r="E20" s="115">
        <f>COUNTIFS('empreend 2019_2020'!G:G,"Sim",'empreend 2019_2020'!A:A,Tabela5[[#This Row],[UGRHi]],'empreend 2019_2020'!B:B,2020)</f>
        <v>5</v>
      </c>
      <c r="F20" s="167">
        <f>Tabela5[[#This Row],[nº total empreendimentos devolvidos pela CRHI no ano anterior]]/Tabela5[[#This Row],[nº total empreendimentos indicados pelo CBH no ano anterior]]</f>
        <v>0.20833333333333334</v>
      </c>
      <c r="G20" s="169" cm="1">
        <f t="array" ref="G20" xml:space="preserve"> _xlfn.IFS(Tabela5[[#This Row],[% eficiência da utilização]]&lt;=$Q$2,$R$2, Tabela5[[#This Row],[% eficiência da utilização]]&lt;=$Q$3,$R$3,Tabela5[[#This Row],[% eficiência da utilização]]&lt;=$Q$4,$R$4,Tabela5[[#This Row],[% eficiência da utilização]]&lt;=$Q$5,$R$5, Tabela5[[#This Row],[% eficiência da utilização]]&gt;$Q$6,$R$6)</f>
        <v>10</v>
      </c>
      <c r="H20" s="202">
        <v>6926488.8799999999</v>
      </c>
      <c r="I20" s="168">
        <f>(SUMIFS('empreend 2019_2020'!$F:$F,'empreend 2019_2020'!$B:$B, 2020,'empreend 2019_2020'!$A:$A,Tabela5[[#This Row],[UGRHi]],'empreend 2019_2020'!$G:$G, "não") / Tabela5[[#This Row],[R$ disponível ]])</f>
        <v>0.99485203966717395</v>
      </c>
      <c r="L20" s="103"/>
      <c r="M20" s="103"/>
      <c r="N20" s="103"/>
      <c r="O20" s="103"/>
      <c r="P20" s="103"/>
      <c r="Q20" s="103"/>
      <c r="R20" s="103"/>
    </row>
    <row r="21" spans="1:18" ht="20.25" customHeight="1">
      <c r="A21" s="114">
        <v>22</v>
      </c>
      <c r="B21" s="100">
        <f t="shared" si="0"/>
        <v>0</v>
      </c>
      <c r="C21" s="206" cm="1">
        <f t="array" ref="C21">_xlfn.IFS(F21=$L$2,M$2,F21&lt;=$L$3,M$3,F21&lt;=$L$4,M$4,F21&lt;=$L$5,M$5,F21&gt;$L$6,$M$6)</f>
        <v>0</v>
      </c>
      <c r="D21" s="115">
        <f>COUNTIFS('empreend 2019_2020'!$A:$A,Tabela5[[#This Row],[UGRHi]],'empreend 2019_2020'!B:B,2020)</f>
        <v>16</v>
      </c>
      <c r="E21" s="115">
        <f>COUNTIFS('empreend 2019_2020'!G:G,"Sim",'empreend 2019_2020'!A:A,Tabela5[[#This Row],[UGRHi]],'empreend 2019_2020'!B:B,2020)</f>
        <v>7</v>
      </c>
      <c r="F21" s="167">
        <f>Tabela5[[#This Row],[nº total empreendimentos devolvidos pela CRHI no ano anterior]]/Tabela5[[#This Row],[nº total empreendimentos indicados pelo CBH no ano anterior]]</f>
        <v>0.4375</v>
      </c>
      <c r="G21" s="169" cm="1">
        <f t="array" ref="G21" xml:space="preserve"> _xlfn.IFS(Tabela5[[#This Row],[% eficiência da utilização]]&lt;=$Q$2,$R$2, Tabela5[[#This Row],[% eficiência da utilização]]&lt;=$Q$3,$R$3,Tabela5[[#This Row],[% eficiência da utilização]]&lt;=$Q$4,$R$4,Tabela5[[#This Row],[% eficiência da utilização]]&lt;=$Q$5,$R$5, Tabela5[[#This Row],[% eficiência da utilização]]&gt;$Q$6,$R$6)</f>
        <v>0</v>
      </c>
      <c r="H21" s="202">
        <v>4210563.24</v>
      </c>
      <c r="I21" s="168">
        <f>(SUMIFS('empreend 2019_2020'!$F:$F,'empreend 2019_2020'!$B:$B, 2020,'empreend 2019_2020'!$A:$A,Tabela5[[#This Row],[UGRHi]],'empreend 2019_2020'!$G:$G, "não") / Tabela5[[#This Row],[R$ disponível ]])</f>
        <v>0.73466876369727674</v>
      </c>
      <c r="L21" s="103"/>
      <c r="M21" s="103"/>
      <c r="N21" s="103"/>
      <c r="O21" s="103"/>
      <c r="P21" s="103"/>
      <c r="Q21" s="103"/>
      <c r="R21" s="103"/>
    </row>
    <row r="22" spans="1:18" ht="20.25" customHeight="1">
      <c r="A22" s="114">
        <v>2021</v>
      </c>
      <c r="B22" s="100">
        <f t="shared" si="0"/>
        <v>10</v>
      </c>
      <c r="C22" s="206" cm="1">
        <f t="array" ref="C22">_xlfn.IFS(F22=$L$2,M$2,F22&lt;=$L$3,M$3,F22&lt;=$L$4,M$4,F22&lt;=$L$5,M$5,F22&gt;$L$6,$M$6)</f>
        <v>0</v>
      </c>
      <c r="D22" s="115">
        <f>COUNTIFS('empreend 2019_2020'!$A:$A,Tabela5[[#This Row],[UGRHi]],'empreend 2019_2020'!B:B,2020)</f>
        <v>9</v>
      </c>
      <c r="E22" s="115">
        <f>COUNTIFS('empreend 2019_2020'!G:G,"Sim",'empreend 2019_2020'!A:A,Tabela5[[#This Row],[UGRHi]],'empreend 2019_2020'!B:B,2020)</f>
        <v>2</v>
      </c>
      <c r="F22" s="167">
        <f>Tabela5[[#This Row],[nº total empreendimentos devolvidos pela CRHI no ano anterior]]/Tabela5[[#This Row],[nº total empreendimentos indicados pelo CBH no ano anterior]]</f>
        <v>0.22222222222222221</v>
      </c>
      <c r="G22" s="169" cm="1">
        <f t="array" ref="G22" xml:space="preserve"> _xlfn.IFS(Tabela5[[#This Row],[% eficiência da utilização]]&lt;=$Q$2,$R$2, Tabela5[[#This Row],[% eficiência da utilização]]&lt;=$Q$3,$R$3,Tabela5[[#This Row],[% eficiência da utilização]]&lt;=$Q$4,$R$4,Tabela5[[#This Row],[% eficiência da utilização]]&lt;=$Q$5,$R$5, Tabela5[[#This Row],[% eficiência da utilização]]&gt;$Q$6,$R$6)</f>
        <v>10</v>
      </c>
      <c r="H22" s="202">
        <v>3204110.6799999997</v>
      </c>
      <c r="I22" s="168">
        <f>(SUMIFS('empreend 2019_2020'!$F:$F,'empreend 2019_2020'!$B:$B, 2020,'empreend 2019_2020'!$A:$A,Tabela5[[#This Row],[UGRHi]],'empreend 2019_2020'!$G:$G, "não") / Tabela5[[#This Row],[R$ disponível ]])</f>
        <v>1.1684341597088652</v>
      </c>
      <c r="L22" s="103"/>
      <c r="M22" s="103"/>
      <c r="N22" s="103"/>
      <c r="O22" s="103"/>
      <c r="P22" s="103"/>
      <c r="Q22" s="103"/>
      <c r="R22" s="103"/>
    </row>
    <row r="23" spans="1:18">
      <c r="G23" s="120"/>
      <c r="L23" s="103"/>
      <c r="M23" s="103"/>
      <c r="N23" s="103"/>
      <c r="O23" s="103"/>
      <c r="P23" s="103"/>
      <c r="Q23" s="103"/>
      <c r="R23" s="103"/>
    </row>
    <row r="24" spans="1:18">
      <c r="L24" s="103"/>
      <c r="M24" s="103"/>
      <c r="N24" s="103"/>
      <c r="O24" s="103"/>
      <c r="P24" s="103"/>
      <c r="Q24" s="103"/>
      <c r="R24" s="103"/>
    </row>
    <row r="25" spans="1:18">
      <c r="L25" s="103"/>
      <c r="M25" s="103"/>
      <c r="N25" s="103"/>
      <c r="O25" s="103"/>
      <c r="P25" s="103"/>
      <c r="Q25" s="103"/>
      <c r="R25" s="103"/>
    </row>
    <row r="26" spans="1:18">
      <c r="L26" s="103"/>
      <c r="M26" s="103"/>
      <c r="N26" s="103"/>
      <c r="O26" s="103"/>
      <c r="P26" s="103"/>
      <c r="Q26" s="103"/>
      <c r="R26" s="103"/>
    </row>
    <row r="27" spans="1:18">
      <c r="L27" s="103"/>
      <c r="M27" s="103"/>
      <c r="N27" s="103"/>
      <c r="O27" s="103"/>
      <c r="P27" s="103"/>
      <c r="Q27" s="103"/>
      <c r="R27" s="103"/>
    </row>
    <row r="28" spans="1:18">
      <c r="L28" s="103"/>
      <c r="M28" s="103"/>
      <c r="N28" s="103"/>
      <c r="O28" s="103"/>
      <c r="P28" s="103"/>
      <c r="Q28" s="103"/>
      <c r="R28" s="103"/>
    </row>
    <row r="29" spans="1:18">
      <c r="L29" s="103"/>
      <c r="M29" s="103"/>
      <c r="N29" s="103"/>
      <c r="O29" s="103"/>
      <c r="P29" s="103"/>
      <c r="Q29" s="103"/>
      <c r="R29" s="103"/>
    </row>
    <row r="30" spans="1:18">
      <c r="L30" s="103"/>
      <c r="M30" s="103"/>
      <c r="N30" s="103"/>
      <c r="O30" s="103"/>
      <c r="P30" s="103"/>
      <c r="Q30" s="103"/>
      <c r="R30" s="103"/>
    </row>
    <row r="31" spans="1:18">
      <c r="L31" s="103"/>
      <c r="M31" s="103"/>
      <c r="N31" s="103"/>
      <c r="O31" s="103"/>
      <c r="P31" s="103"/>
      <c r="Q31" s="103"/>
      <c r="R31" s="103"/>
    </row>
    <row r="32" spans="1:18">
      <c r="L32" s="103"/>
      <c r="M32" s="103"/>
      <c r="N32" s="103"/>
      <c r="O32" s="103"/>
      <c r="P32" s="103"/>
      <c r="Q32" s="103"/>
      <c r="R32" s="103"/>
    </row>
    <row r="33" spans="12:18">
      <c r="L33" s="103"/>
      <c r="M33" s="103"/>
      <c r="N33" s="103"/>
      <c r="O33" s="103"/>
      <c r="P33" s="103"/>
      <c r="Q33" s="103"/>
      <c r="R33" s="103"/>
    </row>
    <row r="34" spans="12:18">
      <c r="L34" s="103"/>
      <c r="M34" s="103"/>
      <c r="N34" s="103"/>
      <c r="O34" s="103"/>
      <c r="P34" s="103"/>
      <c r="Q34" s="103"/>
      <c r="R34" s="103"/>
    </row>
    <row r="35" spans="12:18">
      <c r="L35" s="103"/>
      <c r="M35" s="103"/>
      <c r="N35" s="103"/>
      <c r="O35" s="103"/>
      <c r="P35" s="103"/>
      <c r="Q35" s="103"/>
      <c r="R35" s="103"/>
    </row>
    <row r="36" spans="12:18">
      <c r="L36" s="103"/>
      <c r="M36" s="103"/>
      <c r="N36" s="103"/>
      <c r="O36" s="103"/>
      <c r="P36" s="103"/>
      <c r="Q36" s="103"/>
      <c r="R36" s="103"/>
    </row>
    <row r="37" spans="12:18">
      <c r="L37" s="103"/>
      <c r="M37" s="103"/>
      <c r="N37" s="103"/>
      <c r="O37" s="103"/>
      <c r="P37" s="103"/>
      <c r="Q37" s="103"/>
      <c r="R37" s="103"/>
    </row>
    <row r="38" spans="12:18">
      <c r="L38" s="103"/>
      <c r="M38" s="103"/>
      <c r="N38" s="103"/>
      <c r="O38" s="103"/>
      <c r="P38" s="103"/>
      <c r="Q38" s="103"/>
      <c r="R38" s="103"/>
    </row>
    <row r="39" spans="12:18">
      <c r="L39" s="103"/>
      <c r="M39" s="103"/>
      <c r="N39" s="103"/>
      <c r="O39" s="103"/>
      <c r="P39" s="103"/>
      <c r="Q39" s="103"/>
      <c r="R39" s="103"/>
    </row>
    <row r="40" spans="12:18">
      <c r="L40" s="103"/>
      <c r="M40" s="103"/>
      <c r="N40" s="103"/>
      <c r="O40" s="103"/>
      <c r="P40" s="103"/>
      <c r="Q40" s="103"/>
      <c r="R40" s="103"/>
    </row>
    <row r="41" spans="12:18">
      <c r="L41" s="103"/>
      <c r="M41" s="103"/>
      <c r="N41" s="103"/>
      <c r="O41" s="103"/>
      <c r="P41" s="103"/>
      <c r="Q41" s="103"/>
      <c r="R41" s="103"/>
    </row>
    <row r="42" spans="12:18">
      <c r="L42" s="103"/>
      <c r="M42" s="103"/>
      <c r="N42" s="103"/>
      <c r="O42" s="103"/>
      <c r="P42" s="103"/>
      <c r="Q42" s="103"/>
      <c r="R42" s="103"/>
    </row>
    <row r="43" spans="12:18">
      <c r="L43" s="103"/>
      <c r="M43" s="103"/>
      <c r="N43" s="103"/>
      <c r="O43" s="103"/>
      <c r="P43" s="103"/>
      <c r="Q43" s="103"/>
      <c r="R43" s="103"/>
    </row>
    <row r="44" spans="12:18">
      <c r="L44" s="103"/>
      <c r="M44" s="103"/>
      <c r="N44" s="103"/>
      <c r="O44" s="103"/>
      <c r="P44" s="103"/>
      <c r="Q44" s="103"/>
      <c r="R44" s="103"/>
    </row>
    <row r="45" spans="12:18">
      <c r="L45" s="103"/>
      <c r="M45" s="103"/>
      <c r="N45" s="103"/>
      <c r="O45" s="103"/>
      <c r="P45" s="103"/>
      <c r="Q45" s="103"/>
      <c r="R45" s="103"/>
    </row>
    <row r="46" spans="12:18">
      <c r="L46" s="103"/>
      <c r="M46" s="103"/>
      <c r="N46" s="103"/>
      <c r="O46" s="103"/>
      <c r="P46" s="103"/>
      <c r="Q46" s="103"/>
      <c r="R46" s="103"/>
    </row>
    <row r="47" spans="12:18">
      <c r="L47" s="103"/>
      <c r="M47" s="103"/>
      <c r="N47" s="103"/>
      <c r="O47" s="103"/>
      <c r="P47" s="103"/>
      <c r="Q47" s="103"/>
      <c r="R47" s="103"/>
    </row>
    <row r="48" spans="12:18">
      <c r="L48" s="103"/>
      <c r="M48" s="103"/>
      <c r="N48" s="103"/>
      <c r="O48" s="103"/>
      <c r="P48" s="103"/>
      <c r="Q48" s="103"/>
      <c r="R48" s="103"/>
    </row>
    <row r="49" spans="12:18">
      <c r="L49" s="103"/>
      <c r="M49" s="103"/>
      <c r="N49" s="103"/>
      <c r="O49" s="103"/>
      <c r="P49" s="103"/>
      <c r="Q49" s="103"/>
      <c r="R49" s="103"/>
    </row>
    <row r="50" spans="12:18">
      <c r="L50" s="103"/>
      <c r="M50" s="103"/>
      <c r="N50" s="103"/>
      <c r="O50" s="103"/>
      <c r="P50" s="103"/>
      <c r="Q50" s="103"/>
      <c r="R50" s="103"/>
    </row>
    <row r="51" spans="12:18">
      <c r="L51" s="103"/>
      <c r="M51" s="103"/>
      <c r="N51" s="103"/>
      <c r="O51" s="103"/>
      <c r="P51" s="103"/>
      <c r="Q51" s="103"/>
      <c r="R51" s="103"/>
    </row>
    <row r="52" spans="12:18">
      <c r="L52" s="103"/>
      <c r="M52" s="103"/>
      <c r="N52" s="103"/>
      <c r="O52" s="103"/>
      <c r="P52" s="103"/>
      <c r="Q52" s="103"/>
      <c r="R52" s="103"/>
    </row>
    <row r="53" spans="12:18">
      <c r="L53" s="103"/>
      <c r="M53" s="103"/>
      <c r="N53" s="103"/>
      <c r="O53" s="103"/>
      <c r="P53" s="103"/>
      <c r="Q53" s="103"/>
      <c r="R53" s="103"/>
    </row>
    <row r="54" spans="12:18">
      <c r="L54" s="103"/>
      <c r="M54" s="103"/>
      <c r="N54" s="103"/>
      <c r="O54" s="103"/>
      <c r="P54" s="103"/>
      <c r="Q54" s="103"/>
      <c r="R54" s="103"/>
    </row>
    <row r="55" spans="12:18">
      <c r="L55" s="103"/>
      <c r="M55" s="103"/>
      <c r="N55" s="103"/>
      <c r="O55" s="103"/>
      <c r="P55" s="103"/>
      <c r="Q55" s="103"/>
      <c r="R55" s="103"/>
    </row>
    <row r="56" spans="12:18">
      <c r="L56" s="103"/>
      <c r="M56" s="103"/>
      <c r="N56" s="103"/>
      <c r="O56" s="103"/>
      <c r="P56" s="103"/>
      <c r="Q56" s="103"/>
      <c r="R56" s="103"/>
    </row>
    <row r="57" spans="12:18">
      <c r="L57" s="103"/>
      <c r="M57" s="103"/>
      <c r="N57" s="103"/>
      <c r="O57" s="103"/>
      <c r="P57" s="103"/>
      <c r="Q57" s="103"/>
      <c r="R57" s="103"/>
    </row>
    <row r="58" spans="12:18">
      <c r="L58" s="103"/>
      <c r="M58" s="103"/>
      <c r="N58" s="103"/>
      <c r="O58" s="103"/>
      <c r="P58" s="103"/>
      <c r="Q58" s="103"/>
      <c r="R58" s="103"/>
    </row>
    <row r="59" spans="12:18">
      <c r="L59" s="103"/>
      <c r="M59" s="103"/>
      <c r="N59" s="103"/>
      <c r="O59" s="103"/>
      <c r="P59" s="103"/>
      <c r="Q59" s="103"/>
      <c r="R59" s="103"/>
    </row>
    <row r="60" spans="12:18">
      <c r="L60" s="103"/>
      <c r="M60" s="103"/>
      <c r="N60" s="103"/>
      <c r="O60" s="103"/>
      <c r="P60" s="103"/>
      <c r="Q60" s="103"/>
      <c r="R60" s="103"/>
    </row>
    <row r="61" spans="12:18">
      <c r="L61" s="103"/>
      <c r="M61" s="103"/>
      <c r="N61" s="103"/>
      <c r="O61" s="103"/>
      <c r="P61" s="103"/>
      <c r="Q61" s="103"/>
      <c r="R61" s="103"/>
    </row>
    <row r="62" spans="12:18">
      <c r="L62" s="103"/>
      <c r="M62" s="103"/>
      <c r="N62" s="103"/>
      <c r="O62" s="103"/>
      <c r="P62" s="103"/>
      <c r="Q62" s="103"/>
      <c r="R62" s="103"/>
    </row>
    <row r="63" spans="12:18">
      <c r="L63" s="103"/>
      <c r="M63" s="103"/>
      <c r="N63" s="103"/>
      <c r="O63" s="103"/>
      <c r="P63" s="103"/>
      <c r="Q63" s="103"/>
      <c r="R63" s="103"/>
    </row>
    <row r="64" spans="12:18">
      <c r="L64" s="103"/>
      <c r="M64" s="103"/>
      <c r="N64" s="103"/>
      <c r="O64" s="103"/>
      <c r="P64" s="103"/>
      <c r="Q64" s="103"/>
      <c r="R64" s="103"/>
    </row>
    <row r="65" spans="12:18">
      <c r="L65" s="103"/>
      <c r="M65" s="103"/>
      <c r="N65" s="103"/>
      <c r="O65" s="103"/>
      <c r="P65" s="103"/>
      <c r="Q65" s="103"/>
      <c r="R65" s="103"/>
    </row>
    <row r="66" spans="12:18">
      <c r="L66" s="103"/>
      <c r="M66" s="103"/>
      <c r="N66" s="103"/>
      <c r="O66" s="103"/>
      <c r="P66" s="103"/>
      <c r="Q66" s="103"/>
      <c r="R66" s="103"/>
    </row>
    <row r="67" spans="12:18">
      <c r="L67" s="103"/>
      <c r="M67" s="103"/>
      <c r="N67" s="103"/>
      <c r="O67" s="103"/>
      <c r="P67" s="103"/>
      <c r="Q67" s="103"/>
      <c r="R67" s="103"/>
    </row>
    <row r="68" spans="12:18">
      <c r="L68" s="103"/>
      <c r="M68" s="103"/>
      <c r="N68" s="103"/>
      <c r="O68" s="103"/>
      <c r="P68" s="103"/>
      <c r="Q68" s="103"/>
      <c r="R68" s="103"/>
    </row>
    <row r="69" spans="12:18">
      <c r="L69" s="103"/>
      <c r="M69" s="103"/>
      <c r="N69" s="103"/>
      <c r="O69" s="103"/>
      <c r="P69" s="103"/>
      <c r="Q69" s="103"/>
      <c r="R69" s="103"/>
    </row>
    <row r="70" spans="12:18">
      <c r="L70" s="103"/>
      <c r="M70" s="103"/>
      <c r="N70" s="103"/>
      <c r="O70" s="103"/>
      <c r="P70" s="103"/>
      <c r="Q70" s="103"/>
      <c r="R70" s="103"/>
    </row>
    <row r="71" spans="12:18">
      <c r="L71" s="103"/>
      <c r="M71" s="103"/>
      <c r="N71" s="103"/>
      <c r="O71" s="103"/>
      <c r="P71" s="103"/>
      <c r="Q71" s="103"/>
      <c r="R71" s="103"/>
    </row>
    <row r="72" spans="12:18">
      <c r="L72" s="103"/>
      <c r="M72" s="103"/>
      <c r="N72" s="103"/>
      <c r="O72" s="103"/>
      <c r="P72" s="103"/>
      <c r="Q72" s="103"/>
      <c r="R72" s="103"/>
    </row>
    <row r="73" spans="12:18">
      <c r="L73" s="103"/>
      <c r="M73" s="103"/>
      <c r="N73" s="103"/>
      <c r="O73" s="103"/>
      <c r="P73" s="103"/>
      <c r="Q73" s="103"/>
      <c r="R73" s="103"/>
    </row>
    <row r="74" spans="12:18">
      <c r="L74" s="103"/>
      <c r="M74" s="103"/>
      <c r="N74" s="103"/>
      <c r="O74" s="103"/>
      <c r="P74" s="103"/>
      <c r="Q74" s="103"/>
      <c r="R74" s="103"/>
    </row>
    <row r="75" spans="12:18">
      <c r="L75" s="103"/>
      <c r="M75" s="103"/>
      <c r="N75" s="103"/>
      <c r="O75" s="103"/>
      <c r="P75" s="103"/>
      <c r="Q75" s="103"/>
      <c r="R75" s="103"/>
    </row>
    <row r="76" spans="12:18">
      <c r="L76" s="103"/>
      <c r="M76" s="103"/>
      <c r="N76" s="103"/>
      <c r="O76" s="103"/>
      <c r="P76" s="103"/>
      <c r="Q76" s="103"/>
      <c r="R76" s="103"/>
    </row>
    <row r="77" spans="12:18">
      <c r="L77" s="103"/>
      <c r="M77" s="103"/>
      <c r="N77" s="103"/>
      <c r="O77" s="103"/>
      <c r="P77" s="103"/>
      <c r="Q77" s="103"/>
      <c r="R77" s="103"/>
    </row>
    <row r="78" spans="12:18">
      <c r="L78" s="103"/>
      <c r="M78" s="103"/>
      <c r="N78" s="103"/>
      <c r="O78" s="103"/>
      <c r="P78" s="103"/>
      <c r="Q78" s="103"/>
      <c r="R78" s="103"/>
    </row>
    <row r="79" spans="12:18">
      <c r="L79" s="103"/>
      <c r="M79" s="103"/>
      <c r="N79" s="103"/>
      <c r="O79" s="103"/>
      <c r="P79" s="103"/>
      <c r="Q79" s="103"/>
      <c r="R79" s="103"/>
    </row>
    <row r="80" spans="12:18">
      <c r="L80" s="103"/>
      <c r="M80" s="103"/>
      <c r="N80" s="103"/>
      <c r="O80" s="103"/>
      <c r="P80" s="103"/>
      <c r="Q80" s="103"/>
      <c r="R80" s="103"/>
    </row>
    <row r="81" spans="12:18">
      <c r="L81" s="103"/>
      <c r="M81" s="103"/>
      <c r="N81" s="103"/>
      <c r="O81" s="103"/>
      <c r="P81" s="103"/>
      <c r="Q81" s="103"/>
      <c r="R81" s="103"/>
    </row>
    <row r="82" spans="12:18">
      <c r="L82" s="103"/>
      <c r="M82" s="103"/>
      <c r="N82" s="103"/>
      <c r="O82" s="103"/>
      <c r="P82" s="103"/>
      <c r="Q82" s="103"/>
      <c r="R82" s="103"/>
    </row>
    <row r="83" spans="12:18">
      <c r="L83" s="103"/>
      <c r="M83" s="103"/>
      <c r="N83" s="103"/>
      <c r="O83" s="103"/>
      <c r="P83" s="103"/>
      <c r="Q83" s="103"/>
      <c r="R83" s="103"/>
    </row>
    <row r="84" spans="12:18">
      <c r="L84" s="103"/>
      <c r="M84" s="103"/>
      <c r="N84" s="103"/>
      <c r="O84" s="103"/>
      <c r="P84" s="103"/>
      <c r="Q84" s="103"/>
      <c r="R84" s="103"/>
    </row>
    <row r="85" spans="12:18">
      <c r="L85" s="103"/>
      <c r="M85" s="103"/>
      <c r="N85" s="103"/>
      <c r="O85" s="103"/>
      <c r="P85" s="103"/>
      <c r="Q85" s="103"/>
      <c r="R85" s="103"/>
    </row>
    <row r="86" spans="12:18">
      <c r="L86" s="103"/>
      <c r="M86" s="103"/>
      <c r="N86" s="103"/>
      <c r="O86" s="103"/>
      <c r="P86" s="103"/>
      <c r="Q86" s="103"/>
      <c r="R86" s="103"/>
    </row>
    <row r="87" spans="12:18">
      <c r="L87" s="103"/>
      <c r="M87" s="103"/>
      <c r="N87" s="103"/>
      <c r="O87" s="103"/>
      <c r="P87" s="103"/>
      <c r="Q87" s="103"/>
      <c r="R87" s="103"/>
    </row>
    <row r="88" spans="12:18">
      <c r="L88" s="103"/>
      <c r="M88" s="103"/>
      <c r="N88" s="103"/>
      <c r="O88" s="103"/>
      <c r="P88" s="103"/>
      <c r="Q88" s="103"/>
      <c r="R88" s="103"/>
    </row>
    <row r="89" spans="12:18">
      <c r="L89" s="103"/>
      <c r="M89" s="103"/>
      <c r="N89" s="103"/>
      <c r="O89" s="103"/>
      <c r="P89" s="103"/>
      <c r="Q89" s="103"/>
      <c r="R89" s="103"/>
    </row>
    <row r="90" spans="12:18">
      <c r="L90" s="103"/>
      <c r="M90" s="103"/>
      <c r="N90" s="103"/>
      <c r="O90" s="103"/>
      <c r="P90" s="103"/>
      <c r="Q90" s="103"/>
      <c r="R90" s="103"/>
    </row>
    <row r="91" spans="12:18">
      <c r="L91" s="103"/>
      <c r="M91" s="103"/>
      <c r="N91" s="103"/>
      <c r="O91" s="103"/>
      <c r="P91" s="103"/>
      <c r="Q91" s="103"/>
      <c r="R91" s="103"/>
    </row>
    <row r="92" spans="12:18">
      <c r="L92" s="103"/>
      <c r="M92" s="103"/>
      <c r="N92" s="103"/>
      <c r="O92" s="103"/>
      <c r="P92" s="103"/>
      <c r="Q92" s="103"/>
      <c r="R92" s="103"/>
    </row>
    <row r="93" spans="12:18">
      <c r="L93" s="103"/>
      <c r="M93" s="103"/>
      <c r="N93" s="103"/>
      <c r="O93" s="103"/>
      <c r="P93" s="103"/>
      <c r="Q93" s="103"/>
      <c r="R93" s="103"/>
    </row>
    <row r="94" spans="12:18">
      <c r="L94" s="103"/>
      <c r="M94" s="103"/>
      <c r="N94" s="103"/>
      <c r="O94" s="103"/>
      <c r="P94" s="103"/>
      <c r="Q94" s="103"/>
      <c r="R94" s="103"/>
    </row>
    <row r="95" spans="12:18">
      <c r="L95" s="103"/>
      <c r="M95" s="103"/>
      <c r="N95" s="103"/>
      <c r="O95" s="103"/>
      <c r="P95" s="103"/>
      <c r="Q95" s="103"/>
      <c r="R95" s="103"/>
    </row>
    <row r="96" spans="12:18">
      <c r="L96" s="103"/>
      <c r="M96" s="103"/>
      <c r="N96" s="103"/>
      <c r="O96" s="103"/>
      <c r="P96" s="103"/>
      <c r="Q96" s="103"/>
      <c r="R96" s="103"/>
    </row>
    <row r="97" spans="12:18">
      <c r="L97" s="103"/>
      <c r="M97" s="103"/>
      <c r="N97" s="103"/>
      <c r="O97" s="103"/>
      <c r="P97" s="103"/>
      <c r="Q97" s="103"/>
      <c r="R97" s="103"/>
    </row>
    <row r="98" spans="12:18">
      <c r="L98" s="103"/>
      <c r="M98" s="103"/>
      <c r="N98" s="103"/>
      <c r="O98" s="103"/>
      <c r="P98" s="103"/>
      <c r="Q98" s="103"/>
      <c r="R98" s="103"/>
    </row>
    <row r="99" spans="12:18">
      <c r="L99" s="103"/>
      <c r="M99" s="103"/>
      <c r="N99" s="103"/>
      <c r="O99" s="103"/>
      <c r="P99" s="103"/>
      <c r="Q99" s="103"/>
      <c r="R99" s="103"/>
    </row>
    <row r="100" spans="12:18">
      <c r="L100" s="103"/>
      <c r="M100" s="103"/>
      <c r="N100" s="103"/>
      <c r="O100" s="103"/>
      <c r="P100" s="103"/>
      <c r="Q100" s="103"/>
      <c r="R100" s="103"/>
    </row>
    <row r="101" spans="12:18">
      <c r="L101" s="103"/>
      <c r="M101" s="103"/>
      <c r="N101" s="103"/>
      <c r="O101" s="103"/>
      <c r="P101" s="103"/>
      <c r="Q101" s="103"/>
      <c r="R101" s="103"/>
    </row>
    <row r="102" spans="12:18">
      <c r="L102" s="103"/>
      <c r="M102" s="103"/>
      <c r="N102" s="103"/>
      <c r="O102" s="103"/>
      <c r="P102" s="103"/>
      <c r="Q102" s="103"/>
      <c r="R102" s="103"/>
    </row>
    <row r="103" spans="12:18">
      <c r="L103" s="103"/>
      <c r="M103" s="103"/>
      <c r="N103" s="103"/>
      <c r="O103" s="103"/>
      <c r="P103" s="103"/>
      <c r="Q103" s="103"/>
      <c r="R103" s="103"/>
    </row>
    <row r="104" spans="12:18">
      <c r="L104" s="103"/>
      <c r="M104" s="103"/>
      <c r="N104" s="103"/>
      <c r="O104" s="103"/>
      <c r="P104" s="103"/>
      <c r="Q104" s="103"/>
      <c r="R104" s="103"/>
    </row>
    <row r="105" spans="12:18">
      <c r="L105" s="103"/>
      <c r="M105" s="103"/>
      <c r="N105" s="103"/>
      <c r="O105" s="103"/>
      <c r="P105" s="103"/>
      <c r="Q105" s="103"/>
      <c r="R105" s="103"/>
    </row>
    <row r="106" spans="12:18">
      <c r="L106" s="103"/>
      <c r="M106" s="103"/>
      <c r="N106" s="103"/>
      <c r="O106" s="103"/>
      <c r="P106" s="103"/>
      <c r="Q106" s="103"/>
      <c r="R106" s="103"/>
    </row>
    <row r="107" spans="12:18">
      <c r="L107" s="103"/>
      <c r="M107" s="103"/>
      <c r="N107" s="103"/>
      <c r="O107" s="103"/>
      <c r="P107" s="103"/>
      <c r="Q107" s="103"/>
      <c r="R107" s="103"/>
    </row>
    <row r="108" spans="12:18">
      <c r="L108" s="103"/>
      <c r="M108" s="103"/>
      <c r="N108" s="103"/>
      <c r="O108" s="103"/>
      <c r="P108" s="103"/>
      <c r="Q108" s="103"/>
      <c r="R108" s="103"/>
    </row>
    <row r="109" spans="12:18">
      <c r="L109" s="103"/>
      <c r="M109" s="103"/>
      <c r="N109" s="103"/>
      <c r="O109" s="103"/>
      <c r="P109" s="103"/>
      <c r="Q109" s="103"/>
      <c r="R109" s="103"/>
    </row>
    <row r="110" spans="12:18">
      <c r="L110" s="103"/>
      <c r="M110" s="103"/>
      <c r="N110" s="103"/>
      <c r="O110" s="103"/>
      <c r="P110" s="103"/>
      <c r="Q110" s="103"/>
      <c r="R110" s="103"/>
    </row>
    <row r="111" spans="12:18">
      <c r="L111" s="103"/>
      <c r="M111" s="103"/>
      <c r="N111" s="103"/>
      <c r="O111" s="103"/>
      <c r="P111" s="103"/>
      <c r="Q111" s="103"/>
      <c r="R111" s="103"/>
    </row>
    <row r="112" spans="12:18">
      <c r="L112" s="103"/>
      <c r="M112" s="103"/>
      <c r="N112" s="103"/>
      <c r="O112" s="103"/>
      <c r="P112" s="103"/>
      <c r="Q112" s="103"/>
      <c r="R112" s="103"/>
    </row>
    <row r="113" spans="12:18">
      <c r="L113" s="103"/>
      <c r="M113" s="103"/>
      <c r="N113" s="103"/>
      <c r="O113" s="103"/>
      <c r="P113" s="103"/>
      <c r="Q113" s="103"/>
      <c r="R113" s="103"/>
    </row>
    <row r="114" spans="12:18">
      <c r="L114" s="103"/>
      <c r="M114" s="103"/>
      <c r="N114" s="103"/>
      <c r="O114" s="103"/>
      <c r="P114" s="103"/>
      <c r="Q114" s="103"/>
      <c r="R114" s="103"/>
    </row>
    <row r="115" spans="12:18">
      <c r="L115" s="103"/>
      <c r="M115" s="103"/>
      <c r="N115" s="103"/>
      <c r="O115" s="103"/>
      <c r="P115" s="103"/>
      <c r="Q115" s="103"/>
      <c r="R115" s="103"/>
    </row>
    <row r="116" spans="12:18">
      <c r="L116" s="103"/>
      <c r="M116" s="103"/>
      <c r="N116" s="103"/>
      <c r="O116" s="103"/>
      <c r="P116" s="103"/>
      <c r="Q116" s="103"/>
      <c r="R116" s="103"/>
    </row>
    <row r="117" spans="12:18">
      <c r="L117" s="103"/>
      <c r="M117" s="103"/>
      <c r="N117" s="103"/>
      <c r="O117" s="103"/>
      <c r="P117" s="103"/>
      <c r="Q117" s="103"/>
      <c r="R117" s="103"/>
    </row>
    <row r="118" spans="12:18">
      <c r="L118" s="103"/>
      <c r="M118" s="103"/>
      <c r="N118" s="103"/>
      <c r="O118" s="103"/>
      <c r="P118" s="103"/>
      <c r="Q118" s="103"/>
      <c r="R118" s="103"/>
    </row>
    <row r="119" spans="12:18">
      <c r="L119" s="103"/>
      <c r="M119" s="103"/>
      <c r="N119" s="103"/>
      <c r="O119" s="103"/>
      <c r="P119" s="103"/>
      <c r="Q119" s="103"/>
      <c r="R119" s="103"/>
    </row>
    <row r="120" spans="12:18">
      <c r="L120" s="103"/>
      <c r="M120" s="103"/>
      <c r="N120" s="103"/>
      <c r="O120" s="103"/>
      <c r="P120" s="103"/>
      <c r="Q120" s="103"/>
      <c r="R120" s="103"/>
    </row>
    <row r="121" spans="12:18">
      <c r="L121" s="103"/>
      <c r="M121" s="103"/>
      <c r="N121" s="103"/>
      <c r="O121" s="103"/>
      <c r="P121" s="103"/>
      <c r="Q121" s="103"/>
      <c r="R121" s="103"/>
    </row>
    <row r="122" spans="12:18">
      <c r="L122" s="103"/>
      <c r="M122" s="103"/>
      <c r="N122" s="103"/>
      <c r="O122" s="103"/>
      <c r="P122" s="103"/>
      <c r="Q122" s="103"/>
      <c r="R122" s="103"/>
    </row>
    <row r="123" spans="12:18">
      <c r="L123" s="103"/>
      <c r="M123" s="103"/>
      <c r="N123" s="103"/>
      <c r="O123" s="103"/>
      <c r="P123" s="103"/>
      <c r="Q123" s="103"/>
      <c r="R123" s="103"/>
    </row>
    <row r="124" spans="12:18">
      <c r="L124" s="103"/>
      <c r="M124" s="103"/>
      <c r="N124" s="103"/>
      <c r="O124" s="103"/>
      <c r="P124" s="103"/>
      <c r="Q124" s="103"/>
      <c r="R124" s="103"/>
    </row>
    <row r="125" spans="12:18">
      <c r="L125" s="103"/>
      <c r="M125" s="103"/>
      <c r="N125" s="103"/>
      <c r="O125" s="103"/>
      <c r="P125" s="103"/>
      <c r="Q125" s="103"/>
      <c r="R125" s="103"/>
    </row>
    <row r="126" spans="12:18">
      <c r="L126" s="103"/>
      <c r="M126" s="103"/>
      <c r="N126" s="103"/>
      <c r="O126" s="103"/>
      <c r="P126" s="103"/>
      <c r="Q126" s="103"/>
      <c r="R126" s="103"/>
    </row>
    <row r="127" spans="12:18">
      <c r="L127" s="103"/>
      <c r="M127" s="103"/>
      <c r="N127" s="103"/>
      <c r="O127" s="103"/>
      <c r="P127" s="103"/>
      <c r="Q127" s="103"/>
      <c r="R127" s="103"/>
    </row>
    <row r="128" spans="12:18">
      <c r="L128" s="103"/>
      <c r="M128" s="103"/>
      <c r="N128" s="103"/>
      <c r="O128" s="103"/>
      <c r="P128" s="103"/>
      <c r="Q128" s="103"/>
      <c r="R128" s="103"/>
    </row>
    <row r="129" spans="12:18">
      <c r="L129" s="103"/>
      <c r="M129" s="103"/>
      <c r="N129" s="103"/>
      <c r="O129" s="103"/>
      <c r="P129" s="103"/>
      <c r="Q129" s="103"/>
      <c r="R129" s="103"/>
    </row>
    <row r="130" spans="12:18">
      <c r="L130" s="103"/>
      <c r="M130" s="103"/>
      <c r="N130" s="103"/>
      <c r="O130" s="103"/>
      <c r="P130" s="103"/>
      <c r="Q130" s="103"/>
      <c r="R130" s="103"/>
    </row>
    <row r="131" spans="12:18">
      <c r="L131" s="103"/>
      <c r="M131" s="103"/>
      <c r="N131" s="103"/>
      <c r="O131" s="103"/>
      <c r="P131" s="103"/>
      <c r="Q131" s="103"/>
      <c r="R131" s="103"/>
    </row>
    <row r="132" spans="12:18">
      <c r="L132" s="103"/>
      <c r="M132" s="103"/>
      <c r="N132" s="103"/>
      <c r="O132" s="103"/>
      <c r="P132" s="103"/>
      <c r="Q132" s="103"/>
      <c r="R132" s="103"/>
    </row>
    <row r="133" spans="12:18">
      <c r="L133" s="103"/>
      <c r="M133" s="103"/>
      <c r="N133" s="103"/>
      <c r="O133" s="103"/>
      <c r="P133" s="103"/>
      <c r="Q133" s="103"/>
      <c r="R133" s="103"/>
    </row>
    <row r="134" spans="12:18">
      <c r="L134" s="103"/>
      <c r="M134" s="103"/>
      <c r="N134" s="103"/>
      <c r="O134" s="103"/>
      <c r="P134" s="103"/>
      <c r="Q134" s="103"/>
      <c r="R134" s="103"/>
    </row>
    <row r="135" spans="12:18">
      <c r="L135" s="103"/>
      <c r="M135" s="103"/>
      <c r="N135" s="103"/>
      <c r="O135" s="103"/>
      <c r="P135" s="103"/>
      <c r="Q135" s="103"/>
      <c r="R135" s="103"/>
    </row>
    <row r="136" spans="12:18">
      <c r="L136" s="103"/>
      <c r="M136" s="103"/>
      <c r="N136" s="103"/>
      <c r="O136" s="103"/>
      <c r="P136" s="103"/>
      <c r="Q136" s="103"/>
      <c r="R136" s="103"/>
    </row>
    <row r="137" spans="12:18">
      <c r="L137" s="103"/>
      <c r="M137" s="103"/>
      <c r="N137" s="103"/>
      <c r="O137" s="103"/>
      <c r="P137" s="103"/>
      <c r="Q137" s="103"/>
      <c r="R137" s="103"/>
    </row>
    <row r="138" spans="12:18">
      <c r="L138" s="103"/>
      <c r="M138" s="103"/>
      <c r="N138" s="103"/>
      <c r="O138" s="103"/>
      <c r="P138" s="103"/>
      <c r="Q138" s="103"/>
      <c r="R138" s="103"/>
    </row>
    <row r="139" spans="12:18">
      <c r="L139" s="103"/>
      <c r="M139" s="103"/>
      <c r="N139" s="103"/>
      <c r="O139" s="103"/>
      <c r="P139" s="103"/>
      <c r="Q139" s="103"/>
      <c r="R139" s="103"/>
    </row>
    <row r="140" spans="12:18">
      <c r="L140" s="103"/>
      <c r="M140" s="103"/>
      <c r="N140" s="103"/>
      <c r="O140" s="103"/>
      <c r="P140" s="103"/>
      <c r="Q140" s="103"/>
      <c r="R140" s="103"/>
    </row>
    <row r="141" spans="12:18">
      <c r="L141" s="103"/>
      <c r="M141" s="103"/>
      <c r="N141" s="103"/>
      <c r="O141" s="103"/>
      <c r="P141" s="103"/>
      <c r="Q141" s="103"/>
      <c r="R141" s="103"/>
    </row>
    <row r="142" spans="12:18">
      <c r="L142" s="103"/>
      <c r="M142" s="103"/>
      <c r="N142" s="103"/>
      <c r="O142" s="103"/>
      <c r="P142" s="103"/>
      <c r="Q142" s="103"/>
      <c r="R142" s="103"/>
    </row>
    <row r="143" spans="12:18">
      <c r="L143" s="103"/>
      <c r="M143" s="103"/>
      <c r="N143" s="103"/>
      <c r="O143" s="103"/>
      <c r="P143" s="103"/>
      <c r="Q143" s="103"/>
      <c r="R143" s="103"/>
    </row>
    <row r="144" spans="12:18">
      <c r="L144" s="103"/>
      <c r="M144" s="103"/>
      <c r="N144" s="103"/>
      <c r="O144" s="103"/>
      <c r="P144" s="103"/>
      <c r="Q144" s="103"/>
      <c r="R144" s="103"/>
    </row>
    <row r="145" spans="12:18">
      <c r="L145" s="103"/>
      <c r="M145" s="103"/>
      <c r="N145" s="103"/>
      <c r="O145" s="103"/>
      <c r="P145" s="103"/>
      <c r="Q145" s="103"/>
      <c r="R145" s="103"/>
    </row>
    <row r="146" spans="12:18">
      <c r="L146" s="103"/>
      <c r="M146" s="103"/>
      <c r="N146" s="103"/>
      <c r="O146" s="103"/>
      <c r="P146" s="103"/>
      <c r="Q146" s="103"/>
      <c r="R146" s="103"/>
    </row>
    <row r="147" spans="12:18">
      <c r="L147" s="103"/>
      <c r="M147" s="103"/>
      <c r="N147" s="103"/>
      <c r="O147" s="103"/>
      <c r="P147" s="103"/>
      <c r="Q147" s="103"/>
      <c r="R147" s="103"/>
    </row>
    <row r="148" spans="12:18">
      <c r="L148" s="103"/>
      <c r="M148" s="103"/>
      <c r="N148" s="103"/>
      <c r="O148" s="103"/>
      <c r="P148" s="103"/>
      <c r="Q148" s="103"/>
      <c r="R148" s="103"/>
    </row>
    <row r="149" spans="12:18">
      <c r="L149" s="103"/>
      <c r="M149" s="103"/>
      <c r="N149" s="103"/>
      <c r="O149" s="103"/>
      <c r="P149" s="103"/>
      <c r="Q149" s="103"/>
      <c r="R149" s="103"/>
    </row>
    <row r="150" spans="12:18">
      <c r="L150" s="103"/>
      <c r="M150" s="103"/>
      <c r="N150" s="103"/>
      <c r="O150" s="103"/>
      <c r="P150" s="103"/>
      <c r="Q150" s="103"/>
      <c r="R150" s="103"/>
    </row>
    <row r="151" spans="12:18">
      <c r="L151" s="103"/>
      <c r="M151" s="103"/>
      <c r="N151" s="103"/>
      <c r="O151" s="103"/>
      <c r="P151" s="103"/>
      <c r="Q151" s="103"/>
      <c r="R151" s="103"/>
    </row>
    <row r="152" spans="12:18">
      <c r="L152" s="103"/>
      <c r="M152" s="103"/>
      <c r="N152" s="103"/>
      <c r="O152" s="103"/>
      <c r="P152" s="103"/>
      <c r="Q152" s="103"/>
      <c r="R152" s="103"/>
    </row>
    <row r="153" spans="12:18">
      <c r="L153" s="103"/>
      <c r="M153" s="103"/>
      <c r="N153" s="103"/>
      <c r="O153" s="103"/>
      <c r="P153" s="103"/>
      <c r="Q153" s="103"/>
      <c r="R153" s="103"/>
    </row>
    <row r="154" spans="12:18">
      <c r="L154" s="103"/>
      <c r="M154" s="103"/>
      <c r="N154" s="103"/>
      <c r="O154" s="103"/>
      <c r="P154" s="103"/>
      <c r="Q154" s="103"/>
      <c r="R154" s="103"/>
    </row>
    <row r="155" spans="12:18">
      <c r="L155" s="103"/>
      <c r="M155" s="103"/>
      <c r="N155" s="103"/>
      <c r="O155" s="103"/>
      <c r="P155" s="103"/>
      <c r="Q155" s="103"/>
      <c r="R155" s="103"/>
    </row>
    <row r="156" spans="12:18">
      <c r="L156" s="103"/>
      <c r="M156" s="103"/>
      <c r="N156" s="103"/>
      <c r="O156" s="103"/>
      <c r="P156" s="103"/>
      <c r="Q156" s="103"/>
      <c r="R156" s="103"/>
    </row>
    <row r="157" spans="12:18">
      <c r="L157" s="103"/>
      <c r="M157" s="103"/>
      <c r="N157" s="103"/>
      <c r="O157" s="103"/>
      <c r="P157" s="103"/>
      <c r="Q157" s="103"/>
      <c r="R157" s="103"/>
    </row>
    <row r="158" spans="12:18">
      <c r="L158" s="103"/>
      <c r="M158" s="103"/>
      <c r="N158" s="103"/>
      <c r="O158" s="103"/>
      <c r="P158" s="103"/>
      <c r="Q158" s="103"/>
      <c r="R158" s="103"/>
    </row>
    <row r="159" spans="12:18">
      <c r="L159" s="103"/>
      <c r="M159" s="103"/>
      <c r="N159" s="103"/>
      <c r="O159" s="103"/>
      <c r="P159" s="103"/>
      <c r="Q159" s="103"/>
      <c r="R159" s="103"/>
    </row>
    <row r="160" spans="12:18">
      <c r="L160" s="103"/>
      <c r="M160" s="103"/>
      <c r="N160" s="103"/>
      <c r="O160" s="103"/>
      <c r="P160" s="103"/>
      <c r="Q160" s="103"/>
      <c r="R160" s="103"/>
    </row>
    <row r="161" spans="12:18">
      <c r="L161" s="103"/>
      <c r="M161" s="103"/>
      <c r="N161" s="103"/>
      <c r="O161" s="103"/>
      <c r="P161" s="103"/>
      <c r="Q161" s="103"/>
      <c r="R161" s="103"/>
    </row>
    <row r="162" spans="12:18">
      <c r="L162" s="103"/>
      <c r="M162" s="103"/>
      <c r="N162" s="103"/>
      <c r="O162" s="103"/>
      <c r="P162" s="103"/>
      <c r="Q162" s="103"/>
      <c r="R162" s="103"/>
    </row>
    <row r="163" spans="12:18">
      <c r="L163" s="103"/>
      <c r="M163" s="103"/>
      <c r="N163" s="103"/>
      <c r="O163" s="103"/>
      <c r="P163" s="103"/>
      <c r="Q163" s="103"/>
      <c r="R163" s="103"/>
    </row>
    <row r="164" spans="12:18">
      <c r="L164" s="103"/>
      <c r="M164" s="103"/>
      <c r="N164" s="103"/>
      <c r="O164" s="103"/>
      <c r="P164" s="103"/>
      <c r="Q164" s="103"/>
      <c r="R164" s="103"/>
    </row>
    <row r="165" spans="12:18">
      <c r="L165" s="103"/>
      <c r="M165" s="103"/>
      <c r="N165" s="103"/>
      <c r="O165" s="103"/>
      <c r="P165" s="103"/>
      <c r="Q165" s="103"/>
      <c r="R165" s="103"/>
    </row>
    <row r="166" spans="12:18">
      <c r="L166" s="103"/>
      <c r="M166" s="103"/>
      <c r="N166" s="103"/>
      <c r="O166" s="103"/>
      <c r="P166" s="103"/>
      <c r="Q166" s="103"/>
      <c r="R166" s="103"/>
    </row>
    <row r="167" spans="12:18">
      <c r="L167" s="103"/>
      <c r="M167" s="103"/>
      <c r="N167" s="103"/>
      <c r="O167" s="103"/>
      <c r="P167" s="103"/>
      <c r="Q167" s="103"/>
      <c r="R167" s="103"/>
    </row>
    <row r="168" spans="12:18">
      <c r="L168" s="103"/>
      <c r="M168" s="103"/>
      <c r="N168" s="103"/>
      <c r="O168" s="103"/>
      <c r="P168" s="103"/>
      <c r="Q168" s="103"/>
      <c r="R168" s="103"/>
    </row>
    <row r="169" spans="12:18">
      <c r="L169" s="103"/>
      <c r="M169" s="103"/>
      <c r="N169" s="103"/>
      <c r="O169" s="103"/>
      <c r="P169" s="103"/>
      <c r="Q169" s="103"/>
      <c r="R169" s="103"/>
    </row>
    <row r="170" spans="12:18">
      <c r="L170" s="103"/>
      <c r="M170" s="103"/>
      <c r="N170" s="103"/>
      <c r="O170" s="103"/>
      <c r="P170" s="103"/>
      <c r="Q170" s="103"/>
      <c r="R170" s="103"/>
    </row>
    <row r="171" spans="12:18">
      <c r="L171" s="103"/>
      <c r="M171" s="103"/>
      <c r="N171" s="103"/>
      <c r="O171" s="103"/>
      <c r="P171" s="103"/>
      <c r="Q171" s="103"/>
      <c r="R171" s="103"/>
    </row>
    <row r="172" spans="12:18">
      <c r="L172" s="103"/>
      <c r="M172" s="103"/>
      <c r="N172" s="103"/>
      <c r="O172" s="103"/>
      <c r="P172" s="103"/>
      <c r="Q172" s="103"/>
      <c r="R172" s="103"/>
    </row>
    <row r="173" spans="12:18">
      <c r="L173" s="103"/>
      <c r="M173" s="103"/>
      <c r="N173" s="103"/>
      <c r="O173" s="103"/>
      <c r="P173" s="103"/>
      <c r="Q173" s="103"/>
      <c r="R173" s="103"/>
    </row>
    <row r="174" spans="12:18">
      <c r="L174" s="103"/>
      <c r="M174" s="103"/>
      <c r="N174" s="103"/>
      <c r="O174" s="103"/>
      <c r="P174" s="103"/>
      <c r="Q174" s="103"/>
      <c r="R174" s="103"/>
    </row>
    <row r="175" spans="12:18">
      <c r="L175" s="103"/>
      <c r="M175" s="103"/>
      <c r="N175" s="103"/>
      <c r="O175" s="103"/>
      <c r="P175" s="103"/>
      <c r="Q175" s="103"/>
      <c r="R175" s="103"/>
    </row>
    <row r="176" spans="12:18">
      <c r="L176" s="103"/>
      <c r="M176" s="103"/>
      <c r="N176" s="103"/>
      <c r="O176" s="103"/>
      <c r="P176" s="103"/>
      <c r="Q176" s="103"/>
      <c r="R176" s="103"/>
    </row>
    <row r="177" spans="12:18">
      <c r="L177" s="103"/>
      <c r="M177" s="103"/>
      <c r="N177" s="103"/>
      <c r="O177" s="103"/>
      <c r="P177" s="103"/>
      <c r="Q177" s="103"/>
      <c r="R177" s="103"/>
    </row>
    <row r="178" spans="12:18">
      <c r="L178" s="103"/>
      <c r="M178" s="103"/>
      <c r="N178" s="103"/>
      <c r="O178" s="103"/>
      <c r="P178" s="103"/>
      <c r="Q178" s="103"/>
      <c r="R178" s="103"/>
    </row>
    <row r="179" spans="12:18">
      <c r="L179" s="103"/>
      <c r="M179" s="103"/>
      <c r="N179" s="103"/>
      <c r="O179" s="103"/>
      <c r="P179" s="103"/>
      <c r="Q179" s="103"/>
      <c r="R179" s="103"/>
    </row>
    <row r="180" spans="12:18">
      <c r="L180" s="103"/>
      <c r="M180" s="103"/>
      <c r="N180" s="103"/>
      <c r="O180" s="103"/>
      <c r="P180" s="103"/>
      <c r="Q180" s="103"/>
      <c r="R180" s="103"/>
    </row>
    <row r="181" spans="12:18">
      <c r="L181" s="103"/>
      <c r="M181" s="103"/>
      <c r="N181" s="103"/>
      <c r="O181" s="103"/>
      <c r="P181" s="103"/>
      <c r="Q181" s="103"/>
      <c r="R181" s="103"/>
    </row>
    <row r="182" spans="12:18">
      <c r="L182" s="103"/>
      <c r="M182" s="103"/>
      <c r="N182" s="103"/>
      <c r="O182" s="103"/>
      <c r="P182" s="103"/>
      <c r="Q182" s="103"/>
      <c r="R182" s="103"/>
    </row>
    <row r="183" spans="12:18">
      <c r="L183" s="103"/>
      <c r="M183" s="103"/>
      <c r="N183" s="103"/>
      <c r="O183" s="103"/>
      <c r="P183" s="103"/>
      <c r="Q183" s="103"/>
      <c r="R183" s="103"/>
    </row>
    <row r="184" spans="12:18">
      <c r="L184" s="103"/>
      <c r="M184" s="103"/>
      <c r="N184" s="103"/>
      <c r="O184" s="103"/>
      <c r="P184" s="103"/>
      <c r="Q184" s="103"/>
      <c r="R184" s="103"/>
    </row>
    <row r="185" spans="12:18">
      <c r="L185" s="103"/>
      <c r="M185" s="103"/>
      <c r="N185" s="103"/>
      <c r="O185" s="103"/>
      <c r="P185" s="103"/>
      <c r="Q185" s="103"/>
      <c r="R185" s="103"/>
    </row>
    <row r="186" spans="12:18">
      <c r="L186" s="103"/>
      <c r="M186" s="103"/>
      <c r="N186" s="103"/>
      <c r="O186" s="103"/>
      <c r="P186" s="103"/>
      <c r="Q186" s="103"/>
      <c r="R186" s="103"/>
    </row>
    <row r="187" spans="12:18">
      <c r="L187" s="103"/>
      <c r="M187" s="103"/>
      <c r="N187" s="103"/>
      <c r="O187" s="103"/>
      <c r="P187" s="103"/>
      <c r="Q187" s="103"/>
      <c r="R187" s="103"/>
    </row>
    <row r="188" spans="12:18">
      <c r="L188" s="103"/>
      <c r="M188" s="103"/>
      <c r="N188" s="103"/>
      <c r="O188" s="103"/>
      <c r="P188" s="103"/>
      <c r="Q188" s="103"/>
      <c r="R188" s="103"/>
    </row>
    <row r="189" spans="12:18">
      <c r="L189" s="103"/>
      <c r="M189" s="103"/>
      <c r="N189" s="103"/>
      <c r="O189" s="103"/>
      <c r="P189" s="103"/>
      <c r="Q189" s="103"/>
      <c r="R189" s="103"/>
    </row>
    <row r="190" spans="12:18">
      <c r="L190" s="103"/>
      <c r="M190" s="103"/>
      <c r="N190" s="103"/>
      <c r="O190" s="103"/>
      <c r="P190" s="103"/>
      <c r="Q190" s="103"/>
      <c r="R190" s="103"/>
    </row>
    <row r="191" spans="12:18">
      <c r="L191" s="103"/>
      <c r="M191" s="103"/>
      <c r="N191" s="103"/>
      <c r="O191" s="103"/>
      <c r="P191" s="103"/>
      <c r="Q191" s="103"/>
      <c r="R191" s="103"/>
    </row>
    <row r="192" spans="12:18">
      <c r="L192" s="103"/>
      <c r="M192" s="103"/>
      <c r="N192" s="103"/>
      <c r="O192" s="103"/>
      <c r="P192" s="103"/>
      <c r="Q192" s="103"/>
      <c r="R192" s="103"/>
    </row>
    <row r="193" spans="12:18">
      <c r="L193" s="103"/>
      <c r="M193" s="103"/>
      <c r="N193" s="103"/>
      <c r="O193" s="103"/>
      <c r="P193" s="103"/>
      <c r="Q193" s="103"/>
      <c r="R193" s="103"/>
    </row>
    <row r="194" spans="12:18">
      <c r="L194" s="103"/>
      <c r="M194" s="103"/>
      <c r="N194" s="103"/>
      <c r="O194" s="103"/>
      <c r="P194" s="103"/>
      <c r="Q194" s="103"/>
      <c r="R194" s="103"/>
    </row>
    <row r="195" spans="12:18">
      <c r="L195" s="103"/>
      <c r="M195" s="103"/>
      <c r="N195" s="103"/>
      <c r="O195" s="103"/>
      <c r="P195" s="103"/>
      <c r="Q195" s="103"/>
      <c r="R195" s="103"/>
    </row>
    <row r="196" spans="12:18">
      <c r="L196" s="103"/>
      <c r="M196" s="103"/>
      <c r="N196" s="103"/>
      <c r="O196" s="103"/>
      <c r="P196" s="103"/>
      <c r="Q196" s="103"/>
      <c r="R196" s="103"/>
    </row>
    <row r="197" spans="12:18">
      <c r="L197" s="103"/>
      <c r="M197" s="103"/>
      <c r="N197" s="103"/>
      <c r="O197" s="103"/>
      <c r="P197" s="103"/>
      <c r="Q197" s="103"/>
      <c r="R197" s="103"/>
    </row>
    <row r="198" spans="12:18">
      <c r="L198" s="103"/>
      <c r="M198" s="103"/>
      <c r="N198" s="103"/>
      <c r="O198" s="103"/>
      <c r="P198" s="103"/>
      <c r="Q198" s="103"/>
      <c r="R198" s="103"/>
    </row>
    <row r="199" spans="12:18">
      <c r="L199" s="103"/>
      <c r="M199" s="103"/>
      <c r="N199" s="103"/>
      <c r="O199" s="103"/>
      <c r="P199" s="103"/>
      <c r="Q199" s="103"/>
      <c r="R199" s="103"/>
    </row>
    <row r="200" spans="12:18">
      <c r="L200" s="103"/>
      <c r="M200" s="103"/>
      <c r="N200" s="103"/>
      <c r="O200" s="103"/>
      <c r="P200" s="103"/>
      <c r="Q200" s="103"/>
      <c r="R200" s="103"/>
    </row>
    <row r="201" spans="12:18">
      <c r="L201" s="103"/>
      <c r="M201" s="103"/>
      <c r="N201" s="103"/>
      <c r="O201" s="103"/>
      <c r="P201" s="103"/>
      <c r="Q201" s="103"/>
      <c r="R201" s="103"/>
    </row>
    <row r="202" spans="12:18">
      <c r="L202" s="103"/>
      <c r="M202" s="103"/>
      <c r="N202" s="103"/>
      <c r="O202" s="103"/>
      <c r="P202" s="103"/>
      <c r="Q202" s="103"/>
      <c r="R202" s="103"/>
    </row>
    <row r="203" spans="12:18">
      <c r="L203" s="103"/>
      <c r="M203" s="103"/>
      <c r="N203" s="103"/>
      <c r="O203" s="103"/>
      <c r="P203" s="103"/>
      <c r="Q203" s="103"/>
      <c r="R203" s="103"/>
    </row>
    <row r="204" spans="12:18">
      <c r="L204" s="103"/>
      <c r="M204" s="103"/>
      <c r="N204" s="103"/>
      <c r="O204" s="103"/>
      <c r="P204" s="103"/>
      <c r="Q204" s="103"/>
      <c r="R204" s="103"/>
    </row>
    <row r="205" spans="12:18">
      <c r="L205" s="103"/>
      <c r="M205" s="103"/>
      <c r="N205" s="103"/>
      <c r="O205" s="103"/>
      <c r="P205" s="103"/>
      <c r="Q205" s="103"/>
      <c r="R205" s="103"/>
    </row>
    <row r="206" spans="12:18">
      <c r="L206" s="103"/>
      <c r="M206" s="103"/>
      <c r="N206" s="103"/>
      <c r="O206" s="103"/>
      <c r="P206" s="103"/>
      <c r="Q206" s="103"/>
      <c r="R206" s="103"/>
    </row>
    <row r="207" spans="12:18">
      <c r="L207" s="103"/>
      <c r="M207" s="103"/>
      <c r="N207" s="103"/>
      <c r="O207" s="103"/>
      <c r="P207" s="103"/>
      <c r="Q207" s="103"/>
      <c r="R207" s="103"/>
    </row>
    <row r="208" spans="12:18">
      <c r="L208" s="103"/>
      <c r="M208" s="103"/>
      <c r="N208" s="103"/>
      <c r="O208" s="103"/>
      <c r="P208" s="103"/>
      <c r="Q208" s="103"/>
      <c r="R208" s="103"/>
    </row>
    <row r="209" spans="12:18">
      <c r="L209" s="103"/>
      <c r="M209" s="103"/>
      <c r="N209" s="103"/>
      <c r="O209" s="103"/>
      <c r="P209" s="103"/>
      <c r="Q209" s="103"/>
      <c r="R209" s="103"/>
    </row>
  </sheetData>
  <phoneticPr fontId="13" type="noConversion"/>
  <pageMargins left="0.7" right="0.7" top="0.75" bottom="0.75" header="0.3" footer="0.3"/>
  <pageSetup paperSize="9" orientation="portrait" horizontalDpi="4294967293" verticalDpi="4294967293"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G121"/>
  <sheetViews>
    <sheetView showGridLines="0" zoomScale="70" zoomScaleNormal="70" workbookViewId="0">
      <pane xSplit="1" ySplit="1" topLeftCell="B2" activePane="bottomRight" state="frozen"/>
      <selection pane="topRight" activeCell="B1" sqref="B1"/>
      <selection pane="bottomLeft" activeCell="A2" sqref="A2"/>
      <selection pane="bottomRight" activeCell="B12" sqref="B12"/>
    </sheetView>
  </sheetViews>
  <sheetFormatPr defaultColWidth="9.109375" defaultRowHeight="12.6"/>
  <cols>
    <col min="1" max="1" width="9.6640625" style="104" customWidth="1"/>
    <col min="2" max="2" width="19.88671875" style="164" customWidth="1"/>
    <col min="3" max="3" width="23" style="104" bestFit="1" customWidth="1"/>
    <col min="4" max="4" width="12.44140625" style="104" customWidth="1"/>
    <col min="5" max="5" width="28.44140625" style="104" customWidth="1"/>
    <col min="6" max="6" width="20.6640625" style="104" customWidth="1"/>
    <col min="7" max="7" width="13.5546875" style="104" customWidth="1"/>
    <col min="8" max="8" width="20.6640625" style="104" customWidth="1"/>
    <col min="9" max="9" width="5.6640625" style="104" customWidth="1"/>
    <col min="10" max="10" width="20.6640625" style="164" customWidth="1"/>
    <col min="11" max="11" width="10.6640625" style="164" customWidth="1"/>
    <col min="12" max="13" width="20.6640625" style="104" customWidth="1"/>
    <col min="14" max="16384" width="9.109375" style="104"/>
  </cols>
  <sheetData>
    <row r="1" spans="1:33" s="160" customFormat="1" ht="72" customHeight="1">
      <c r="A1" s="157" t="s">
        <v>43</v>
      </c>
      <c r="B1" s="158" t="s">
        <v>44</v>
      </c>
      <c r="C1" s="161" t="s">
        <v>45</v>
      </c>
      <c r="E1" s="301" t="s">
        <v>46</v>
      </c>
      <c r="F1" s="301"/>
      <c r="G1" s="280" t="s">
        <v>47</v>
      </c>
      <c r="I1" s="159"/>
      <c r="J1" s="163"/>
      <c r="K1" s="163"/>
      <c r="L1" s="159"/>
      <c r="M1" s="159"/>
      <c r="N1" s="159"/>
      <c r="O1" s="159"/>
      <c r="P1" s="159"/>
      <c r="Q1" s="159"/>
      <c r="R1" s="159"/>
      <c r="S1" s="159"/>
      <c r="T1" s="159"/>
      <c r="U1" s="159"/>
      <c r="V1" s="159"/>
      <c r="W1" s="159"/>
      <c r="X1" s="159"/>
      <c r="Y1" s="159"/>
      <c r="Z1" s="159"/>
      <c r="AA1" s="159"/>
      <c r="AB1" s="159"/>
      <c r="AC1" s="159"/>
      <c r="AD1" s="159"/>
      <c r="AE1" s="159"/>
      <c r="AF1" s="159"/>
      <c r="AG1" s="159"/>
    </row>
    <row r="2" spans="1:33" ht="20.25" customHeight="1">
      <c r="A2" s="154">
        <v>1</v>
      </c>
      <c r="B2" s="155" cm="1">
        <f t="array" ref="B2">_xlfn.IFS(C2&lt;=F$2,G$2,C2&lt;=F$3,G$3,C2&lt;=F$4,G$4,C2&lt;=F$5,G$5,C2&lt;=F$6,G$6,C2&gt;F$7,G$7)</f>
        <v>0</v>
      </c>
      <c r="C2" s="204">
        <v>0</v>
      </c>
      <c r="E2" s="273" t="s">
        <v>48</v>
      </c>
      <c r="F2" s="274">
        <v>0.1</v>
      </c>
      <c r="G2" s="281">
        <v>0</v>
      </c>
      <c r="J2"/>
      <c r="K2" s="163"/>
      <c r="L2" s="103"/>
      <c r="M2" s="103"/>
      <c r="N2" s="103"/>
      <c r="O2" s="103"/>
      <c r="P2" s="103"/>
      <c r="Q2" s="103"/>
      <c r="R2" s="103"/>
      <c r="S2" s="103"/>
      <c r="T2" s="103"/>
      <c r="U2" s="103"/>
      <c r="V2" s="103"/>
      <c r="W2" s="103"/>
      <c r="X2" s="103"/>
      <c r="Y2" s="103"/>
      <c r="Z2" s="103"/>
      <c r="AA2" s="103"/>
      <c r="AB2" s="103"/>
      <c r="AC2" s="103"/>
      <c r="AD2" s="103"/>
      <c r="AE2" s="103"/>
      <c r="AF2" s="103"/>
      <c r="AG2" s="103"/>
    </row>
    <row r="3" spans="1:33" ht="19.5" customHeight="1">
      <c r="A3" s="153">
        <v>2</v>
      </c>
      <c r="B3" s="155" cm="1">
        <f t="array" ref="B3">_xlfn.IFS(C3&lt;=F$2,G$2,C3&lt;=F$3,G$3,C3&lt;=F$4,G$4,C3&lt;=F$5,G$5,C3&lt;=F$6,G$6,C3&gt;F$7,G$7)</f>
        <v>0</v>
      </c>
      <c r="C3" s="204">
        <v>0</v>
      </c>
      <c r="E3" s="273" t="s">
        <v>49</v>
      </c>
      <c r="F3" s="274">
        <v>0.2</v>
      </c>
      <c r="G3" s="273">
        <v>1</v>
      </c>
      <c r="I3" s="103"/>
      <c r="J3" s="163"/>
      <c r="K3" s="163"/>
      <c r="L3" s="103"/>
      <c r="M3" s="103"/>
      <c r="N3" s="103"/>
      <c r="O3" s="103"/>
      <c r="P3" s="103"/>
      <c r="Q3" s="103"/>
      <c r="R3" s="103"/>
      <c r="S3" s="103"/>
      <c r="T3" s="103"/>
      <c r="U3" s="103"/>
      <c r="V3" s="103"/>
      <c r="W3" s="103"/>
      <c r="X3" s="103"/>
      <c r="Y3" s="103"/>
      <c r="Z3" s="103"/>
      <c r="AA3" s="103"/>
      <c r="AB3" s="103"/>
      <c r="AC3" s="103"/>
      <c r="AD3" s="103"/>
      <c r="AE3" s="103"/>
      <c r="AF3" s="103"/>
      <c r="AG3" s="103"/>
    </row>
    <row r="4" spans="1:33" ht="19.5" customHeight="1">
      <c r="A4" s="154">
        <v>3</v>
      </c>
      <c r="B4" s="155" cm="1">
        <f t="array" ref="B4">_xlfn.IFS(C4&lt;=F$2,G$2,C4&lt;=F$3,G$3,C4&lt;=F$4,G$4,C4&lt;=F$5,G$5,C4&lt;=F$6,G$6,C4&gt;F$7,G$7)</f>
        <v>0</v>
      </c>
      <c r="C4" s="204">
        <v>0</v>
      </c>
      <c r="E4" s="273" t="s">
        <v>50</v>
      </c>
      <c r="F4" s="274">
        <v>0.3</v>
      </c>
      <c r="G4" s="273">
        <v>2</v>
      </c>
      <c r="I4" s="103"/>
      <c r="J4" s="163"/>
      <c r="K4" s="163"/>
      <c r="L4" s="103"/>
      <c r="M4" s="103"/>
      <c r="N4" s="103"/>
      <c r="O4" s="103"/>
      <c r="P4" s="103"/>
      <c r="Q4" s="103"/>
      <c r="R4" s="103"/>
      <c r="S4" s="103"/>
      <c r="T4" s="103"/>
      <c r="U4" s="103"/>
      <c r="V4" s="103"/>
      <c r="W4" s="103"/>
      <c r="X4" s="103"/>
      <c r="Y4" s="103"/>
      <c r="Z4" s="103"/>
      <c r="AA4" s="103"/>
      <c r="AB4" s="103"/>
      <c r="AC4" s="103"/>
      <c r="AD4" s="103"/>
      <c r="AE4" s="103"/>
      <c r="AF4" s="103"/>
      <c r="AG4" s="103"/>
    </row>
    <row r="5" spans="1:33" ht="20.25" customHeight="1">
      <c r="A5" s="153">
        <v>4</v>
      </c>
      <c r="B5" s="155" cm="1">
        <f t="array" ref="B5">_xlfn.IFS(C5&lt;=F$2,G$2,C5&lt;=F$3,G$3,C5&lt;=F$4,G$4,C5&lt;=F$5,G$5,C5&lt;=F$6,G$6,C5&gt;F$7,G$7)</f>
        <v>0</v>
      </c>
      <c r="C5" s="204">
        <v>0</v>
      </c>
      <c r="E5" s="273" t="s">
        <v>51</v>
      </c>
      <c r="F5" s="274">
        <v>0.4</v>
      </c>
      <c r="G5" s="273">
        <v>3</v>
      </c>
      <c r="I5" s="103"/>
      <c r="J5" s="163"/>
      <c r="K5" s="163"/>
      <c r="L5" s="81"/>
      <c r="M5" s="103"/>
      <c r="N5" s="103"/>
      <c r="O5" s="103"/>
      <c r="P5" s="103"/>
      <c r="Q5" s="103"/>
      <c r="R5" s="103"/>
      <c r="S5" s="103"/>
      <c r="T5" s="103"/>
      <c r="U5" s="103"/>
      <c r="V5" s="103"/>
      <c r="W5" s="103"/>
      <c r="X5" s="103"/>
      <c r="Y5" s="103"/>
      <c r="Z5" s="103"/>
      <c r="AA5" s="103"/>
      <c r="AB5" s="103"/>
      <c r="AC5" s="103"/>
      <c r="AD5" s="103"/>
      <c r="AE5" s="103"/>
      <c r="AF5" s="103"/>
      <c r="AG5" s="103"/>
    </row>
    <row r="6" spans="1:33" ht="20.25" customHeight="1">
      <c r="A6" s="154">
        <v>5</v>
      </c>
      <c r="B6" s="155" cm="1">
        <f t="array" ref="B6">_xlfn.IFS(C6&lt;=F$2,G$2,C6&lt;=F$3,G$3,C6&lt;=F$4,G$4,C6&lt;=F$5,G$5,C6&lt;=F$6,G$6,C6&gt;F$7,G$7)</f>
        <v>0</v>
      </c>
      <c r="C6" s="204">
        <v>0</v>
      </c>
      <c r="E6" s="273" t="s">
        <v>52</v>
      </c>
      <c r="F6" s="274">
        <v>0.5</v>
      </c>
      <c r="G6" s="273">
        <v>4</v>
      </c>
      <c r="I6" s="103"/>
      <c r="J6" s="165"/>
      <c r="K6" s="165"/>
      <c r="L6" s="81"/>
      <c r="M6" s="103"/>
      <c r="N6" s="103"/>
      <c r="O6" s="103"/>
      <c r="P6" s="103"/>
      <c r="Q6" s="103"/>
      <c r="R6" s="103"/>
      <c r="S6" s="103"/>
      <c r="T6" s="103"/>
      <c r="U6" s="103"/>
      <c r="V6" s="103"/>
      <c r="W6" s="103"/>
      <c r="X6" s="103"/>
      <c r="Y6" s="103"/>
      <c r="Z6" s="103"/>
      <c r="AA6" s="103"/>
      <c r="AB6" s="103"/>
      <c r="AC6" s="103"/>
      <c r="AD6" s="103"/>
      <c r="AE6" s="103"/>
      <c r="AF6" s="103"/>
      <c r="AG6" s="103"/>
    </row>
    <row r="7" spans="1:33" ht="20.25" customHeight="1">
      <c r="A7" s="153">
        <v>6</v>
      </c>
      <c r="B7" s="155" cm="1">
        <f t="array" ref="B7">_xlfn.IFS(C7&lt;=F$2,G$2,C7&lt;=F$3,G$3,C7&lt;=F$4,G$4,C7&lt;=F$5,G$5,C7&lt;=F$6,G$6,C7&gt;F$7,G$7)</f>
        <v>0</v>
      </c>
      <c r="C7" s="204">
        <v>0</v>
      </c>
      <c r="E7" s="273" t="s">
        <v>53</v>
      </c>
      <c r="F7" s="274">
        <v>0.5</v>
      </c>
      <c r="G7" s="273">
        <v>5</v>
      </c>
      <c r="I7" s="103"/>
      <c r="J7" s="163"/>
      <c r="K7" s="163"/>
      <c r="L7" s="103"/>
      <c r="M7" s="103"/>
      <c r="N7" s="103"/>
      <c r="O7" s="103"/>
      <c r="P7" s="103"/>
      <c r="Q7" s="103"/>
      <c r="R7" s="103"/>
      <c r="S7" s="103"/>
      <c r="T7" s="103"/>
      <c r="U7" s="103"/>
      <c r="V7" s="103"/>
      <c r="W7" s="103"/>
      <c r="X7" s="103"/>
      <c r="Y7" s="103"/>
      <c r="Z7" s="103"/>
      <c r="AA7" s="103"/>
      <c r="AB7" s="103"/>
      <c r="AC7" s="103"/>
      <c r="AD7" s="103"/>
      <c r="AE7" s="103"/>
      <c r="AF7" s="103"/>
      <c r="AG7" s="103"/>
    </row>
    <row r="8" spans="1:33" ht="20.25" customHeight="1">
      <c r="A8" s="154">
        <v>7</v>
      </c>
      <c r="B8" s="155" cm="1">
        <f t="array" ref="B8">_xlfn.IFS(C8&lt;=F$2,G$2,C8&lt;=F$3,G$3,C8&lt;=F$4,G$4,C8&lt;=F$5,G$5,C8&lt;=F$6,G$6,C8&gt;F$7,G$7)</f>
        <v>0</v>
      </c>
      <c r="C8" s="204">
        <v>0</v>
      </c>
      <c r="E8" s="103"/>
      <c r="F8" s="103"/>
      <c r="G8" s="103"/>
      <c r="H8" s="103"/>
      <c r="I8" s="103"/>
      <c r="J8" s="163"/>
      <c r="K8" s="163"/>
      <c r="L8" s="103"/>
      <c r="M8" s="103"/>
      <c r="N8" s="103"/>
      <c r="O8" s="103"/>
      <c r="P8" s="103"/>
      <c r="Q8" s="103"/>
      <c r="R8" s="103"/>
      <c r="S8" s="103"/>
      <c r="T8" s="103"/>
      <c r="U8" s="103"/>
      <c r="V8" s="103"/>
      <c r="W8" s="103"/>
      <c r="X8" s="103"/>
      <c r="Y8" s="103"/>
      <c r="Z8" s="103"/>
      <c r="AA8" s="103"/>
      <c r="AB8" s="103"/>
      <c r="AC8" s="103"/>
      <c r="AD8" s="103"/>
      <c r="AE8" s="103"/>
      <c r="AF8" s="103"/>
      <c r="AG8" s="103"/>
    </row>
    <row r="9" spans="1:33" ht="20.25" customHeight="1">
      <c r="A9" s="153">
        <v>8</v>
      </c>
      <c r="B9" s="155" cm="1">
        <f t="array" ref="B9">_xlfn.IFS(C9&lt;=F$2,G$2,C9&lt;=F$3,G$3,C9&lt;=F$4,G$4,C9&lt;=F$5,G$5,C9&lt;=F$6,G$6,C9&gt;F$7,G$7)</f>
        <v>0</v>
      </c>
      <c r="C9" s="204">
        <v>0</v>
      </c>
      <c r="E9" s="103"/>
      <c r="F9" s="103"/>
      <c r="G9" s="103"/>
      <c r="H9" s="103"/>
      <c r="I9" s="103"/>
      <c r="J9" s="163"/>
      <c r="K9" s="163"/>
      <c r="L9" s="103"/>
      <c r="M9" s="103"/>
      <c r="N9" s="103"/>
      <c r="O9" s="103"/>
      <c r="P9" s="103"/>
      <c r="Q9" s="103"/>
      <c r="R9" s="103"/>
      <c r="S9" s="103"/>
      <c r="T9" s="103"/>
      <c r="U9" s="103"/>
      <c r="V9" s="103"/>
      <c r="W9" s="103"/>
      <c r="X9" s="103"/>
      <c r="Y9" s="103"/>
      <c r="Z9" s="103"/>
      <c r="AA9" s="103"/>
      <c r="AB9" s="103"/>
      <c r="AC9" s="103"/>
      <c r="AD9" s="103"/>
      <c r="AE9" s="103"/>
      <c r="AF9" s="103"/>
      <c r="AG9" s="103"/>
    </row>
    <row r="10" spans="1:33" ht="20.25" customHeight="1">
      <c r="A10" s="154">
        <v>9</v>
      </c>
      <c r="B10" s="155" cm="1">
        <f t="array" ref="B10">_xlfn.IFS(C10&lt;=F$2,G$2,C10&lt;=F$3,G$3,C10&lt;=F$4,G$4,C10&lt;=F$5,G$5,C10&lt;=F$6,G$6,C10&gt;F$7,G$7)</f>
        <v>0</v>
      </c>
      <c r="C10" s="204">
        <v>0</v>
      </c>
      <c r="E10" s="103"/>
      <c r="F10" s="103"/>
      <c r="G10" s="103"/>
      <c r="H10" s="103"/>
      <c r="I10" s="103"/>
      <c r="J10" s="163"/>
      <c r="K10" s="163"/>
      <c r="L10" s="103"/>
      <c r="M10" s="103"/>
      <c r="N10" s="103"/>
      <c r="O10" s="103"/>
      <c r="P10" s="103"/>
      <c r="Q10" s="103"/>
      <c r="R10" s="103"/>
      <c r="S10" s="103"/>
      <c r="T10" s="103"/>
      <c r="U10" s="103"/>
      <c r="V10" s="103"/>
      <c r="W10" s="103"/>
      <c r="X10" s="103"/>
      <c r="Y10" s="103"/>
      <c r="Z10" s="103"/>
      <c r="AA10" s="103"/>
      <c r="AB10" s="103"/>
      <c r="AC10" s="103"/>
      <c r="AD10" s="103"/>
      <c r="AE10" s="103"/>
      <c r="AF10" s="103"/>
      <c r="AG10" s="103"/>
    </row>
    <row r="11" spans="1:33" ht="20.25" customHeight="1">
      <c r="A11" s="153">
        <v>10</v>
      </c>
      <c r="B11" s="155" cm="1">
        <f t="array" ref="B11">_xlfn.IFS(C11&lt;=F$2,G$2,C11&lt;=F$3,G$3,C11&lt;=F$4,G$4,C11&lt;=F$5,G$5,C11&lt;=F$6,G$6,C11&gt;F$7,G$7)</f>
        <v>0</v>
      </c>
      <c r="C11" s="204">
        <v>0</v>
      </c>
      <c r="E11" s="103"/>
      <c r="F11" s="103"/>
      <c r="G11" s="103"/>
      <c r="H11" s="103"/>
      <c r="I11" s="103"/>
      <c r="J11" s="163"/>
      <c r="K11" s="163"/>
      <c r="L11" s="103"/>
      <c r="M11" s="103"/>
      <c r="N11" s="103"/>
      <c r="O11" s="103"/>
      <c r="P11" s="103"/>
      <c r="Q11" s="103"/>
      <c r="R11" s="103"/>
      <c r="S11" s="103"/>
      <c r="T11" s="103"/>
      <c r="U11" s="103"/>
      <c r="V11" s="103"/>
      <c r="W11" s="103"/>
      <c r="X11" s="103"/>
      <c r="Y11" s="103"/>
      <c r="Z11" s="103"/>
      <c r="AA11" s="103"/>
      <c r="AB11" s="103"/>
      <c r="AC11" s="103"/>
      <c r="AD11" s="103"/>
      <c r="AE11" s="103"/>
      <c r="AF11" s="103"/>
      <c r="AG11" s="103"/>
    </row>
    <row r="12" spans="1:33" ht="20.25" customHeight="1">
      <c r="A12" s="154">
        <v>11</v>
      </c>
      <c r="B12" s="155" cm="1">
        <f t="array" ref="B12">_xlfn.IFS(C12&lt;=F$2,G$2,C12&lt;=F$3,G$3,C12&lt;=F$4,G$4,C12&lt;=F$5,G$5,C12&lt;=F$6,G$6,C12&gt;F$7,G$7)</f>
        <v>0</v>
      </c>
      <c r="C12" s="204">
        <v>0</v>
      </c>
      <c r="E12" s="103"/>
      <c r="F12" s="103"/>
      <c r="G12" s="103"/>
      <c r="H12" s="103"/>
      <c r="I12" s="103"/>
      <c r="J12" s="163"/>
      <c r="K12" s="16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33" ht="20.25" customHeight="1">
      <c r="A13" s="153">
        <v>12</v>
      </c>
      <c r="B13" s="155" cm="1">
        <f t="array" ref="B13">_xlfn.IFS(C13&lt;=F$2,G$2,C13&lt;=F$3,G$3,C13&lt;=F$4,G$4,C13&lt;=F$5,G$5,C13&lt;=F$6,G$6,C13&gt;F$7,G$7)</f>
        <v>0</v>
      </c>
      <c r="C13" s="204">
        <v>0</v>
      </c>
      <c r="E13" s="103"/>
      <c r="F13" s="103"/>
      <c r="G13" s="103"/>
      <c r="H13" s="103"/>
      <c r="I13" s="103"/>
      <c r="J13" s="163"/>
      <c r="K13" s="163"/>
      <c r="L13" s="103"/>
      <c r="M13" s="103"/>
      <c r="N13" s="103"/>
      <c r="O13" s="103"/>
      <c r="P13" s="103"/>
      <c r="Q13" s="103"/>
      <c r="R13" s="103"/>
      <c r="S13" s="103"/>
      <c r="T13" s="103"/>
      <c r="U13" s="103"/>
      <c r="V13" s="103"/>
      <c r="W13" s="103"/>
      <c r="X13" s="103"/>
      <c r="Y13" s="103"/>
      <c r="Z13" s="103"/>
      <c r="AA13" s="103"/>
      <c r="AB13" s="103"/>
      <c r="AC13" s="103"/>
      <c r="AD13" s="103"/>
      <c r="AE13" s="103"/>
      <c r="AF13" s="103"/>
      <c r="AG13" s="103"/>
    </row>
    <row r="14" spans="1:33" ht="20.25" customHeight="1">
      <c r="A14" s="154">
        <v>13</v>
      </c>
      <c r="B14" s="155" cm="1">
        <f t="array" ref="B14">_xlfn.IFS(C14&lt;=F$2,G$2,C14&lt;=F$3,G$3,C14&lt;=F$4,G$4,C14&lt;=F$5,G$5,C14&lt;=F$6,G$6,C14&gt;F$7,G$7)</f>
        <v>0</v>
      </c>
      <c r="C14" s="204">
        <v>0</v>
      </c>
      <c r="E14" s="103"/>
      <c r="F14" s="103"/>
      <c r="G14" s="103"/>
      <c r="H14" s="103"/>
      <c r="I14" s="103"/>
      <c r="J14" s="163"/>
      <c r="K14" s="163"/>
      <c r="L14" s="103"/>
      <c r="M14" s="103"/>
      <c r="N14" s="103"/>
      <c r="O14" s="103"/>
      <c r="P14" s="103"/>
      <c r="Q14" s="103"/>
      <c r="R14" s="103"/>
      <c r="S14" s="103"/>
      <c r="T14" s="103"/>
      <c r="U14" s="103"/>
      <c r="V14" s="103"/>
      <c r="W14" s="103"/>
      <c r="X14" s="103"/>
      <c r="Y14" s="103"/>
      <c r="Z14" s="103"/>
      <c r="AA14" s="103"/>
      <c r="AB14" s="103"/>
      <c r="AC14" s="103"/>
      <c r="AD14" s="103"/>
      <c r="AE14" s="103"/>
      <c r="AF14" s="103"/>
      <c r="AG14" s="103"/>
    </row>
    <row r="15" spans="1:33" ht="20.25" customHeight="1">
      <c r="A15" s="153">
        <v>14</v>
      </c>
      <c r="B15" s="155" cm="1">
        <f t="array" ref="B15">_xlfn.IFS(C15&lt;=F$2,G$2,C15&lt;=F$3,G$3,C15&lt;=F$4,G$4,C15&lt;=F$5,G$5,C15&lt;=F$6,G$6,C15&gt;F$7,G$7)</f>
        <v>0</v>
      </c>
      <c r="C15" s="204">
        <v>0</v>
      </c>
      <c r="E15" s="103"/>
      <c r="F15" s="103"/>
      <c r="G15" s="103"/>
      <c r="H15" s="103"/>
      <c r="I15" s="103"/>
      <c r="J15" s="163"/>
      <c r="K15" s="163"/>
      <c r="L15" s="103"/>
      <c r="M15" s="103"/>
      <c r="N15" s="103"/>
      <c r="O15" s="103"/>
      <c r="P15" s="103"/>
      <c r="Q15" s="103"/>
      <c r="R15" s="103"/>
      <c r="S15" s="103"/>
      <c r="T15" s="103"/>
      <c r="U15" s="103"/>
      <c r="V15" s="103"/>
      <c r="W15" s="103"/>
      <c r="X15" s="103"/>
      <c r="Y15" s="103"/>
      <c r="Z15" s="103"/>
      <c r="AA15" s="103"/>
      <c r="AB15" s="103"/>
      <c r="AC15" s="103"/>
      <c r="AD15" s="103"/>
      <c r="AE15" s="103"/>
      <c r="AF15" s="103"/>
      <c r="AG15" s="103"/>
    </row>
    <row r="16" spans="1:33" ht="20.25" customHeight="1">
      <c r="A16" s="154">
        <v>15</v>
      </c>
      <c r="B16" s="155" cm="1">
        <f t="array" ref="B16">_xlfn.IFS(C16&lt;=F$2,G$2,C16&lt;=F$3,G$3,C16&lt;=F$4,G$4,C16&lt;=F$5,G$5,C16&lt;=F$6,G$6,C16&gt;F$7,G$7)</f>
        <v>0</v>
      </c>
      <c r="C16" s="204">
        <v>0</v>
      </c>
      <c r="E16" s="103"/>
      <c r="F16" s="103"/>
      <c r="G16" s="103"/>
      <c r="H16" s="103"/>
      <c r="I16" s="103"/>
      <c r="J16" s="163"/>
      <c r="K16" s="163"/>
      <c r="L16" s="103"/>
      <c r="M16" s="103"/>
      <c r="N16" s="103"/>
      <c r="O16" s="103"/>
      <c r="P16" s="103"/>
      <c r="Q16" s="103"/>
      <c r="R16" s="103"/>
      <c r="S16" s="103"/>
      <c r="T16" s="103"/>
      <c r="U16" s="103"/>
      <c r="V16" s="103"/>
      <c r="W16" s="103"/>
      <c r="X16" s="103"/>
      <c r="Y16" s="103"/>
      <c r="Z16" s="103"/>
      <c r="AA16" s="103"/>
      <c r="AB16" s="103"/>
      <c r="AC16" s="103"/>
      <c r="AD16" s="103"/>
      <c r="AE16" s="103"/>
      <c r="AF16" s="103"/>
      <c r="AG16" s="103"/>
    </row>
    <row r="17" spans="1:33" ht="20.25" customHeight="1">
      <c r="A17" s="153">
        <v>16</v>
      </c>
      <c r="B17" s="155" cm="1">
        <f t="array" ref="B17">_xlfn.IFS(C17&lt;=F$2,G$2,C17&lt;=F$3,G$3,C17&lt;=F$4,G$4,C17&lt;=F$5,G$5,C17&lt;=F$6,G$6,C17&gt;F$7,G$7)</f>
        <v>0</v>
      </c>
      <c r="C17" s="204">
        <v>0</v>
      </c>
      <c r="E17" s="103"/>
      <c r="F17" s="103"/>
      <c r="G17" s="103"/>
      <c r="H17" s="103"/>
      <c r="I17" s="103"/>
      <c r="J17" s="163"/>
      <c r="K17" s="163"/>
      <c r="L17" s="103"/>
      <c r="M17" s="103"/>
      <c r="N17" s="103"/>
      <c r="O17" s="103"/>
      <c r="P17" s="103"/>
      <c r="Q17" s="103"/>
      <c r="R17" s="103"/>
      <c r="S17" s="103"/>
      <c r="T17" s="103"/>
      <c r="U17" s="103"/>
      <c r="V17" s="103"/>
      <c r="W17" s="103"/>
      <c r="X17" s="103"/>
      <c r="Y17" s="103"/>
      <c r="Z17" s="103"/>
      <c r="AA17" s="103"/>
      <c r="AB17" s="103"/>
      <c r="AC17" s="103"/>
      <c r="AD17" s="103"/>
      <c r="AE17" s="103"/>
      <c r="AF17" s="103"/>
      <c r="AG17" s="103"/>
    </row>
    <row r="18" spans="1:33" ht="20.25" customHeight="1">
      <c r="A18" s="154">
        <v>17</v>
      </c>
      <c r="B18" s="155" cm="1">
        <f t="array" ref="B18">_xlfn.IFS(C18&lt;=F$2,G$2,C18&lt;=F$3,G$3,C18&lt;=F$4,G$4,C18&lt;=F$5,G$5,C18&lt;=F$6,G$6,C18&gt;F$7,G$7)</f>
        <v>0</v>
      </c>
      <c r="C18" s="204">
        <v>0</v>
      </c>
      <c r="E18" s="103"/>
      <c r="F18" s="103"/>
      <c r="G18" s="103"/>
      <c r="H18" s="103"/>
      <c r="I18" s="103"/>
      <c r="J18" s="163"/>
      <c r="K18" s="163"/>
      <c r="L18" s="103"/>
      <c r="M18" s="103"/>
      <c r="N18" s="103"/>
      <c r="O18" s="103"/>
      <c r="P18" s="103"/>
      <c r="Q18" s="103"/>
      <c r="R18" s="103"/>
      <c r="S18" s="103"/>
      <c r="T18" s="103"/>
      <c r="U18" s="103"/>
      <c r="V18" s="103"/>
      <c r="W18" s="103"/>
      <c r="X18" s="103"/>
      <c r="Y18" s="103"/>
      <c r="Z18" s="103"/>
      <c r="AA18" s="103"/>
      <c r="AB18" s="103"/>
      <c r="AC18" s="103"/>
      <c r="AD18" s="103"/>
      <c r="AE18" s="103"/>
      <c r="AF18" s="103"/>
      <c r="AG18" s="103"/>
    </row>
    <row r="19" spans="1:33" ht="20.25" customHeight="1">
      <c r="A19" s="153">
        <v>18</v>
      </c>
      <c r="B19" s="155" cm="1">
        <f t="array" ref="B19">_xlfn.IFS(C19&lt;=F$2,G$2,C19&lt;=F$3,G$3,C19&lt;=F$4,G$4,C19&lt;=F$5,G$5,C19&lt;=F$6,G$6,C19&gt;F$7,G$7)</f>
        <v>0</v>
      </c>
      <c r="C19" s="204">
        <v>0</v>
      </c>
      <c r="E19" s="103"/>
      <c r="F19" s="103"/>
      <c r="G19" s="103"/>
      <c r="H19" s="103"/>
      <c r="I19" s="103"/>
      <c r="J19" s="163"/>
      <c r="K19" s="163"/>
      <c r="L19" s="103"/>
      <c r="M19" s="103"/>
      <c r="N19" s="103"/>
      <c r="O19" s="103"/>
      <c r="P19" s="103"/>
      <c r="Q19" s="103"/>
      <c r="R19" s="103"/>
      <c r="S19" s="103"/>
      <c r="T19" s="103"/>
      <c r="U19" s="103"/>
      <c r="V19" s="103"/>
      <c r="W19" s="103"/>
      <c r="X19" s="103"/>
      <c r="Y19" s="103"/>
      <c r="Z19" s="103"/>
      <c r="AA19" s="103"/>
      <c r="AB19" s="103"/>
      <c r="AC19" s="103"/>
      <c r="AD19" s="103"/>
      <c r="AE19" s="103"/>
      <c r="AF19" s="103"/>
      <c r="AG19" s="103"/>
    </row>
    <row r="20" spans="1:33" ht="20.25" customHeight="1">
      <c r="A20" s="154">
        <v>19</v>
      </c>
      <c r="B20" s="155" cm="1">
        <f t="array" ref="B20">_xlfn.IFS(C20&lt;=F$2,G$2,C20&lt;=F$3,G$3,C20&lt;=F$4,G$4,C20&lt;=F$5,G$5,C20&lt;=F$6,G$6,C20&gt;F$7,G$7)</f>
        <v>0</v>
      </c>
      <c r="C20" s="204">
        <v>0</v>
      </c>
      <c r="E20" s="103"/>
      <c r="F20" s="103"/>
      <c r="G20" s="103"/>
      <c r="H20" s="103"/>
      <c r="I20" s="103"/>
      <c r="J20" s="163"/>
      <c r="K20" s="163"/>
      <c r="L20" s="103"/>
      <c r="M20" s="103"/>
      <c r="N20" s="103"/>
      <c r="O20" s="103"/>
      <c r="P20" s="103"/>
      <c r="Q20" s="103"/>
      <c r="R20" s="103"/>
      <c r="S20" s="103"/>
      <c r="T20" s="103"/>
      <c r="U20" s="103"/>
      <c r="V20" s="103"/>
      <c r="W20" s="103"/>
      <c r="X20" s="103"/>
      <c r="Y20" s="103"/>
      <c r="Z20" s="103"/>
      <c r="AA20" s="103"/>
      <c r="AB20" s="103"/>
      <c r="AC20" s="103"/>
      <c r="AD20" s="103"/>
      <c r="AE20" s="103"/>
      <c r="AF20" s="103"/>
      <c r="AG20" s="103"/>
    </row>
    <row r="21" spans="1:33" ht="20.25" customHeight="1">
      <c r="A21" s="153">
        <v>2021</v>
      </c>
      <c r="B21" s="155" cm="1">
        <f t="array" ref="B21">_xlfn.IFS(C21&lt;=F$2,G$2,C21&lt;=F$3,G$3,C21&lt;=F$4,G$4,C21&lt;=F$5,G$5,C21&lt;=F$6,G$6,C21&gt;F$7,G$7)</f>
        <v>0</v>
      </c>
      <c r="C21" s="204">
        <v>0</v>
      </c>
      <c r="E21" s="103"/>
      <c r="F21" s="103"/>
      <c r="G21" s="103"/>
      <c r="H21" s="103"/>
      <c r="I21" s="103"/>
      <c r="J21" s="163"/>
      <c r="K21" s="163"/>
      <c r="L21" s="103"/>
      <c r="M21" s="103"/>
      <c r="N21" s="103"/>
      <c r="O21" s="103"/>
      <c r="P21" s="103"/>
      <c r="Q21" s="103"/>
      <c r="R21" s="103"/>
      <c r="S21" s="103"/>
      <c r="T21" s="103"/>
      <c r="U21" s="103"/>
      <c r="V21" s="103"/>
      <c r="W21" s="103"/>
      <c r="X21" s="103"/>
      <c r="Y21" s="103"/>
      <c r="Z21" s="103"/>
      <c r="AA21" s="103"/>
      <c r="AB21" s="103"/>
      <c r="AC21" s="103"/>
      <c r="AD21" s="103"/>
      <c r="AE21" s="103"/>
      <c r="AF21" s="103"/>
      <c r="AG21" s="103"/>
    </row>
    <row r="22" spans="1:33" ht="20.25" customHeight="1">
      <c r="A22" s="156">
        <v>22</v>
      </c>
      <c r="B22" s="155" cm="1">
        <f t="array" ref="B22">_xlfn.IFS(C22&lt;=F$2,G$2,C22&lt;=F$3,G$3,C22&lt;=F$4,G$4,C22&lt;=F$5,G$5,C22&lt;=F$6,G$6,C22&gt;F$7,G$7)</f>
        <v>0</v>
      </c>
      <c r="C22" s="204">
        <v>0</v>
      </c>
      <c r="E22" s="103"/>
      <c r="F22" s="103"/>
      <c r="G22" s="103"/>
      <c r="H22" s="103"/>
      <c r="I22" s="103"/>
      <c r="J22" s="163"/>
      <c r="K22" s="163"/>
      <c r="L22" s="103"/>
      <c r="M22" s="103"/>
      <c r="N22" s="103"/>
      <c r="O22" s="103"/>
      <c r="P22" s="103"/>
      <c r="Q22" s="103"/>
      <c r="R22" s="103"/>
      <c r="S22" s="103"/>
      <c r="T22" s="103"/>
      <c r="U22" s="103"/>
      <c r="V22" s="103"/>
      <c r="W22" s="103"/>
      <c r="X22" s="103"/>
      <c r="Y22" s="103"/>
      <c r="Z22" s="103"/>
      <c r="AA22" s="103"/>
      <c r="AB22" s="103"/>
      <c r="AC22" s="103"/>
      <c r="AD22" s="103"/>
      <c r="AE22" s="103"/>
      <c r="AF22" s="103"/>
      <c r="AG22" s="103"/>
    </row>
    <row r="23" spans="1:33">
      <c r="A23" s="103"/>
      <c r="B23" s="163"/>
      <c r="C23" s="103"/>
      <c r="D23" s="103"/>
      <c r="E23" s="103"/>
      <c r="F23" s="103"/>
      <c r="G23" s="103"/>
      <c r="H23" s="103"/>
      <c r="I23" s="103"/>
      <c r="J23" s="163"/>
      <c r="K23" s="163"/>
      <c r="L23" s="103"/>
      <c r="M23" s="103"/>
      <c r="N23" s="103"/>
      <c r="O23" s="103"/>
      <c r="P23" s="103"/>
      <c r="Q23" s="103"/>
      <c r="R23" s="103"/>
      <c r="S23" s="103"/>
      <c r="T23" s="103"/>
      <c r="U23" s="103"/>
      <c r="V23" s="103"/>
      <c r="W23" s="103"/>
      <c r="X23" s="103"/>
      <c r="Y23" s="103"/>
      <c r="Z23" s="103"/>
      <c r="AA23" s="103"/>
      <c r="AB23" s="103"/>
      <c r="AC23" s="103"/>
      <c r="AD23" s="103"/>
      <c r="AE23" s="103"/>
      <c r="AF23" s="103"/>
      <c r="AG23" s="103"/>
    </row>
    <row r="24" spans="1:33">
      <c r="A24" s="103"/>
      <c r="B24" s="163"/>
      <c r="C24" s="103"/>
      <c r="D24" s="103"/>
      <c r="E24" s="103"/>
      <c r="F24" s="103"/>
      <c r="G24" s="103"/>
      <c r="H24" s="103"/>
      <c r="I24" s="103"/>
      <c r="J24" s="163"/>
      <c r="K24" s="163"/>
      <c r="L24" s="103"/>
      <c r="M24" s="103"/>
      <c r="N24" s="103"/>
      <c r="O24" s="103"/>
      <c r="P24" s="103"/>
      <c r="Q24" s="103"/>
      <c r="R24" s="103"/>
      <c r="S24" s="103"/>
      <c r="T24" s="103"/>
      <c r="U24" s="103"/>
      <c r="V24" s="103"/>
      <c r="W24" s="103"/>
      <c r="X24" s="103"/>
      <c r="Y24" s="103"/>
      <c r="Z24" s="103"/>
      <c r="AA24" s="103"/>
      <c r="AB24" s="103"/>
      <c r="AC24" s="103"/>
      <c r="AD24" s="103"/>
      <c r="AE24" s="103"/>
      <c r="AF24" s="103"/>
      <c r="AG24" s="103"/>
    </row>
    <row r="25" spans="1:33" ht="27.75" customHeight="1">
      <c r="A25" s="103"/>
      <c r="B25" s="163"/>
      <c r="C25" s="103"/>
      <c r="D25" s="103"/>
      <c r="E25" s="103"/>
      <c r="F25" s="103"/>
      <c r="G25" s="103"/>
      <c r="H25" s="103"/>
      <c r="I25" s="103"/>
      <c r="J25" s="163"/>
      <c r="K25" s="163"/>
      <c r="L25" s="103"/>
      <c r="M25" s="103"/>
      <c r="N25" s="103"/>
      <c r="O25" s="103"/>
      <c r="P25" s="103"/>
      <c r="Q25" s="103"/>
      <c r="R25" s="103"/>
      <c r="S25" s="103"/>
      <c r="T25" s="103"/>
      <c r="U25" s="103"/>
      <c r="V25" s="103"/>
      <c r="W25" s="103"/>
      <c r="X25" s="103"/>
      <c r="Y25" s="103"/>
      <c r="Z25" s="103"/>
      <c r="AA25" s="103"/>
      <c r="AB25" s="103"/>
      <c r="AC25" s="103"/>
      <c r="AD25" s="103"/>
      <c r="AE25" s="103"/>
      <c r="AF25" s="103"/>
      <c r="AG25" s="103"/>
    </row>
    <row r="26" spans="1:33" ht="15.75" customHeight="1">
      <c r="A26" s="103"/>
      <c r="B26" s="163"/>
      <c r="C26" s="103"/>
      <c r="D26" s="103"/>
      <c r="E26" s="103"/>
      <c r="F26" s="80"/>
      <c r="G26" s="81"/>
      <c r="H26" s="81"/>
      <c r="I26" s="103"/>
      <c r="J26" s="163"/>
      <c r="K26" s="163"/>
      <c r="L26" s="103"/>
      <c r="M26" s="103"/>
      <c r="N26" s="103"/>
      <c r="O26" s="103"/>
      <c r="P26" s="103"/>
      <c r="Q26" s="103"/>
      <c r="R26" s="103"/>
      <c r="S26" s="103"/>
      <c r="T26" s="103"/>
      <c r="U26" s="103"/>
      <c r="V26" s="103"/>
      <c r="W26" s="103"/>
      <c r="X26" s="103"/>
      <c r="Y26" s="103"/>
      <c r="Z26" s="103"/>
      <c r="AA26" s="103"/>
      <c r="AB26" s="103"/>
      <c r="AC26" s="103"/>
      <c r="AD26" s="103"/>
      <c r="AE26" s="103"/>
      <c r="AF26" s="103"/>
      <c r="AG26" s="103"/>
    </row>
    <row r="27" spans="1:33">
      <c r="A27" s="103"/>
      <c r="B27" s="163"/>
      <c r="C27" s="103"/>
      <c r="D27" s="103"/>
      <c r="E27" s="103"/>
      <c r="F27" s="80"/>
      <c r="G27" s="81"/>
      <c r="H27" s="81"/>
      <c r="I27" s="103"/>
      <c r="J27" s="163"/>
      <c r="K27" s="163"/>
      <c r="L27" s="103"/>
      <c r="M27" s="103"/>
      <c r="N27" s="103"/>
      <c r="O27" s="103"/>
      <c r="P27" s="103"/>
      <c r="Q27" s="103"/>
      <c r="R27" s="103"/>
      <c r="S27" s="103"/>
      <c r="T27" s="103"/>
      <c r="U27" s="103"/>
      <c r="V27" s="103"/>
      <c r="W27" s="103"/>
      <c r="X27" s="103"/>
      <c r="Y27" s="103"/>
      <c r="Z27" s="103"/>
      <c r="AA27" s="103"/>
      <c r="AB27" s="103"/>
      <c r="AC27" s="103"/>
      <c r="AD27" s="103"/>
      <c r="AE27" s="103"/>
      <c r="AF27" s="103"/>
      <c r="AG27" s="103"/>
    </row>
    <row r="28" spans="1:33">
      <c r="A28" s="103"/>
      <c r="B28" s="163"/>
      <c r="C28" s="103"/>
      <c r="D28" s="103"/>
      <c r="E28" s="103"/>
      <c r="F28" s="81"/>
      <c r="G28" s="81"/>
      <c r="H28" s="81"/>
      <c r="I28" s="103"/>
      <c r="J28" s="163"/>
      <c r="K28" s="163"/>
      <c r="L28" s="103"/>
      <c r="M28" s="103"/>
      <c r="N28" s="103"/>
      <c r="O28" s="103"/>
      <c r="P28" s="103"/>
      <c r="Q28" s="103"/>
      <c r="R28" s="103"/>
      <c r="S28" s="103"/>
      <c r="T28" s="103"/>
      <c r="U28" s="103"/>
      <c r="V28" s="103"/>
      <c r="W28" s="103"/>
      <c r="X28" s="103"/>
      <c r="Y28" s="103"/>
      <c r="Z28" s="103"/>
      <c r="AA28" s="103"/>
      <c r="AB28" s="103"/>
      <c r="AC28" s="103"/>
      <c r="AD28" s="103"/>
      <c r="AE28" s="103"/>
      <c r="AF28" s="103"/>
      <c r="AG28" s="103"/>
    </row>
    <row r="29" spans="1:33">
      <c r="A29" s="103"/>
      <c r="B29" s="163"/>
      <c r="C29" s="103"/>
      <c r="D29" s="103"/>
      <c r="E29" s="103"/>
      <c r="F29" s="81"/>
      <c r="G29" s="81"/>
      <c r="H29" s="81"/>
      <c r="I29" s="103"/>
      <c r="J29" s="163"/>
      <c r="K29" s="163"/>
      <c r="L29" s="103"/>
      <c r="M29" s="103"/>
      <c r="N29" s="103"/>
      <c r="O29" s="103"/>
      <c r="P29" s="103"/>
      <c r="Q29" s="103"/>
      <c r="R29" s="103"/>
      <c r="S29" s="103"/>
      <c r="T29" s="103"/>
      <c r="U29" s="103"/>
      <c r="V29" s="103"/>
      <c r="W29" s="103"/>
      <c r="X29" s="103"/>
      <c r="Y29" s="103"/>
      <c r="Z29" s="103"/>
      <c r="AA29" s="103"/>
      <c r="AB29" s="103"/>
      <c r="AC29" s="103"/>
      <c r="AD29" s="103"/>
      <c r="AE29" s="103"/>
      <c r="AF29" s="103"/>
      <c r="AG29" s="103"/>
    </row>
    <row r="30" spans="1:33" ht="28.5" customHeight="1">
      <c r="A30" s="103"/>
      <c r="B30" s="163"/>
      <c r="C30" s="103"/>
      <c r="D30" s="103"/>
      <c r="E30" s="103"/>
      <c r="F30" s="81"/>
      <c r="G30" s="81"/>
      <c r="H30" s="81"/>
      <c r="I30" s="103"/>
      <c r="J30" s="163"/>
      <c r="K30" s="163"/>
      <c r="L30" s="103"/>
      <c r="M30" s="103"/>
      <c r="N30" s="103"/>
      <c r="O30" s="103"/>
      <c r="P30" s="103"/>
      <c r="Q30" s="103"/>
      <c r="R30" s="103"/>
      <c r="S30" s="103"/>
      <c r="T30" s="103"/>
      <c r="U30" s="103"/>
      <c r="V30" s="103"/>
      <c r="W30" s="103"/>
      <c r="X30" s="103"/>
      <c r="Y30" s="103"/>
      <c r="Z30" s="103"/>
      <c r="AA30" s="103"/>
      <c r="AB30" s="103"/>
      <c r="AC30" s="103"/>
      <c r="AD30" s="103"/>
      <c r="AE30" s="103"/>
      <c r="AF30" s="103"/>
      <c r="AG30" s="103"/>
    </row>
    <row r="31" spans="1:33">
      <c r="A31" s="103"/>
      <c r="B31" s="163"/>
      <c r="C31" s="103"/>
      <c r="D31" s="103"/>
      <c r="E31" s="103"/>
      <c r="F31" s="81"/>
      <c r="G31" s="81"/>
      <c r="H31" s="81"/>
      <c r="I31" s="109"/>
      <c r="J31" s="166"/>
      <c r="K31" s="166"/>
      <c r="L31" s="109"/>
      <c r="M31" s="109"/>
      <c r="N31" s="109"/>
      <c r="O31" s="103"/>
      <c r="P31" s="103"/>
      <c r="Q31" s="103"/>
      <c r="R31" s="103"/>
      <c r="S31" s="103"/>
      <c r="T31" s="103"/>
      <c r="U31" s="103"/>
      <c r="V31" s="103"/>
      <c r="W31" s="103"/>
      <c r="X31" s="103"/>
      <c r="Y31" s="103"/>
      <c r="Z31" s="103"/>
      <c r="AA31" s="103"/>
      <c r="AB31" s="103"/>
      <c r="AC31" s="103"/>
      <c r="AD31" s="103"/>
      <c r="AE31" s="103"/>
      <c r="AF31" s="103"/>
      <c r="AG31" s="103"/>
    </row>
    <row r="32" spans="1:33">
      <c r="A32" s="103"/>
      <c r="B32" s="163"/>
      <c r="C32" s="103"/>
      <c r="D32" s="103"/>
      <c r="E32" s="103"/>
      <c r="F32" s="81"/>
      <c r="G32" s="81"/>
      <c r="H32" s="81"/>
      <c r="I32" s="109"/>
      <c r="J32" s="166"/>
      <c r="K32" s="166"/>
      <c r="L32" s="109"/>
      <c r="M32" s="109"/>
      <c r="N32" s="109"/>
      <c r="O32" s="103"/>
      <c r="P32" s="103"/>
      <c r="Q32" s="103"/>
      <c r="R32" s="103"/>
      <c r="S32" s="103"/>
      <c r="T32" s="103"/>
      <c r="U32" s="103"/>
      <c r="V32" s="103"/>
      <c r="W32" s="103"/>
      <c r="X32" s="103"/>
      <c r="Y32" s="103"/>
      <c r="Z32" s="103"/>
      <c r="AA32" s="103"/>
      <c r="AB32" s="103"/>
      <c r="AC32" s="103"/>
      <c r="AD32" s="103"/>
      <c r="AE32" s="103"/>
      <c r="AF32" s="103"/>
      <c r="AG32" s="103"/>
    </row>
    <row r="33" spans="1:33" ht="15.75" customHeight="1">
      <c r="A33" s="103"/>
      <c r="B33" s="163"/>
      <c r="C33" s="103"/>
      <c r="D33" s="103"/>
      <c r="E33" s="103"/>
      <c r="F33" s="81"/>
      <c r="G33" s="81"/>
      <c r="H33" s="81"/>
      <c r="I33" s="109"/>
      <c r="J33" s="166"/>
      <c r="K33" s="166"/>
      <c r="L33" s="109"/>
      <c r="M33" s="109"/>
      <c r="N33" s="109"/>
      <c r="O33" s="103"/>
      <c r="P33" s="103"/>
      <c r="Q33" s="103"/>
      <c r="R33" s="103"/>
      <c r="S33" s="103"/>
      <c r="T33" s="103"/>
      <c r="U33" s="103"/>
      <c r="V33" s="103"/>
      <c r="W33" s="103"/>
      <c r="X33" s="103"/>
      <c r="Y33" s="103"/>
      <c r="Z33" s="103"/>
      <c r="AA33" s="103"/>
      <c r="AB33" s="103"/>
      <c r="AC33" s="103"/>
      <c r="AD33" s="103"/>
      <c r="AE33" s="103"/>
      <c r="AF33" s="103"/>
      <c r="AG33" s="103"/>
    </row>
    <row r="34" spans="1:33">
      <c r="A34" s="103"/>
      <c r="B34" s="163"/>
      <c r="C34" s="103"/>
      <c r="D34" s="103"/>
      <c r="E34" s="103"/>
      <c r="I34" s="109"/>
      <c r="J34" s="166"/>
      <c r="K34" s="166"/>
      <c r="L34" s="109"/>
      <c r="M34" s="109"/>
      <c r="N34" s="109"/>
      <c r="O34" s="103"/>
      <c r="P34" s="103"/>
      <c r="Q34" s="103"/>
      <c r="R34" s="103"/>
      <c r="S34" s="103"/>
      <c r="T34" s="103"/>
      <c r="U34" s="103"/>
      <c r="V34" s="103"/>
      <c r="W34" s="103"/>
      <c r="X34" s="103"/>
      <c r="Y34" s="103"/>
      <c r="Z34" s="103"/>
      <c r="AA34" s="103"/>
      <c r="AB34" s="103"/>
      <c r="AC34" s="103"/>
      <c r="AD34" s="103"/>
      <c r="AE34" s="103"/>
      <c r="AF34" s="103"/>
      <c r="AG34" s="103"/>
    </row>
    <row r="35" spans="1:33">
      <c r="A35" s="103"/>
      <c r="B35" s="163"/>
      <c r="C35" s="103"/>
      <c r="D35" s="103"/>
      <c r="E35" s="103"/>
      <c r="I35" s="109"/>
      <c r="J35" s="166"/>
      <c r="K35" s="166"/>
      <c r="L35" s="109"/>
      <c r="M35" s="109"/>
      <c r="N35" s="109"/>
      <c r="O35" s="103"/>
      <c r="P35" s="103"/>
      <c r="Q35" s="103"/>
      <c r="R35" s="103"/>
      <c r="S35" s="103"/>
      <c r="T35" s="103"/>
      <c r="U35" s="103"/>
      <c r="V35" s="103"/>
      <c r="W35" s="103"/>
      <c r="X35" s="103"/>
      <c r="Y35" s="103"/>
      <c r="Z35" s="103"/>
      <c r="AA35" s="103"/>
      <c r="AB35" s="103"/>
      <c r="AC35" s="103"/>
      <c r="AD35" s="103"/>
      <c r="AE35" s="103"/>
      <c r="AF35" s="103"/>
      <c r="AG35" s="103"/>
    </row>
    <row r="36" spans="1:33">
      <c r="A36" s="103"/>
      <c r="B36" s="163"/>
      <c r="C36" s="103"/>
      <c r="D36" s="103"/>
      <c r="E36" s="103"/>
      <c r="I36" s="103"/>
      <c r="J36" s="163"/>
      <c r="K36" s="163"/>
      <c r="L36" s="103"/>
      <c r="M36" s="103"/>
      <c r="N36" s="103"/>
      <c r="O36" s="103"/>
      <c r="P36" s="103"/>
      <c r="Q36" s="103"/>
      <c r="R36" s="103"/>
      <c r="S36" s="103"/>
      <c r="T36" s="103"/>
      <c r="U36" s="103"/>
      <c r="V36" s="103"/>
      <c r="W36" s="103"/>
      <c r="X36" s="103"/>
      <c r="Y36" s="103"/>
      <c r="Z36" s="103"/>
      <c r="AA36" s="103"/>
      <c r="AB36" s="103"/>
      <c r="AC36" s="103"/>
      <c r="AD36" s="103"/>
      <c r="AE36" s="103"/>
      <c r="AF36" s="103"/>
      <c r="AG36" s="103"/>
    </row>
    <row r="37" spans="1:33">
      <c r="A37" s="103"/>
      <c r="B37" s="163"/>
      <c r="C37" s="103"/>
      <c r="D37" s="103"/>
      <c r="E37" s="103"/>
      <c r="I37" s="103"/>
      <c r="J37" s="163"/>
      <c r="K37" s="163"/>
      <c r="L37" s="103"/>
      <c r="M37" s="103"/>
      <c r="N37" s="103"/>
      <c r="O37" s="103"/>
      <c r="P37" s="103"/>
      <c r="Q37" s="103"/>
      <c r="R37" s="103"/>
      <c r="S37" s="103"/>
      <c r="T37" s="103"/>
      <c r="U37" s="103"/>
      <c r="V37" s="103"/>
      <c r="W37" s="103"/>
      <c r="X37" s="103"/>
      <c r="Y37" s="103"/>
      <c r="Z37" s="103"/>
      <c r="AA37" s="103"/>
      <c r="AB37" s="103"/>
      <c r="AC37" s="103"/>
      <c r="AD37" s="103"/>
      <c r="AE37" s="103"/>
      <c r="AF37" s="103"/>
      <c r="AG37" s="103"/>
    </row>
    <row r="38" spans="1:33">
      <c r="A38" s="103"/>
      <c r="B38" s="163"/>
      <c r="C38" s="103"/>
      <c r="D38" s="103"/>
      <c r="E38" s="103"/>
      <c r="I38" s="103"/>
      <c r="J38" s="166"/>
      <c r="K38" s="166"/>
      <c r="L38" s="103"/>
      <c r="M38" s="103"/>
      <c r="N38" s="103"/>
      <c r="O38" s="103"/>
      <c r="P38" s="103"/>
      <c r="Q38" s="103"/>
      <c r="R38" s="103"/>
      <c r="S38" s="103"/>
      <c r="T38" s="103"/>
      <c r="U38" s="103"/>
      <c r="V38" s="103"/>
      <c r="W38" s="103"/>
      <c r="X38" s="103"/>
      <c r="Y38" s="103"/>
      <c r="Z38" s="103"/>
      <c r="AA38" s="103"/>
      <c r="AB38" s="103"/>
      <c r="AC38" s="103"/>
      <c r="AD38" s="103"/>
      <c r="AE38" s="103"/>
      <c r="AF38" s="103"/>
      <c r="AG38" s="103"/>
    </row>
    <row r="39" spans="1:33">
      <c r="A39" s="103"/>
      <c r="B39" s="163"/>
      <c r="C39" s="103"/>
      <c r="D39" s="103"/>
      <c r="E39" s="103"/>
      <c r="F39" s="109"/>
      <c r="I39" s="103"/>
      <c r="J39" s="166"/>
      <c r="K39" s="166"/>
      <c r="L39" s="103"/>
      <c r="M39" s="103"/>
      <c r="N39" s="103"/>
      <c r="O39" s="103"/>
      <c r="P39" s="103"/>
      <c r="Q39" s="103"/>
      <c r="R39" s="103"/>
      <c r="S39" s="103"/>
      <c r="T39" s="103"/>
      <c r="U39" s="103"/>
      <c r="V39" s="103"/>
      <c r="W39" s="103"/>
      <c r="X39" s="103"/>
      <c r="Y39" s="103"/>
      <c r="Z39" s="103"/>
      <c r="AA39" s="103"/>
      <c r="AB39" s="103"/>
      <c r="AC39" s="103"/>
      <c r="AD39" s="103"/>
      <c r="AE39" s="103"/>
      <c r="AF39" s="103"/>
      <c r="AG39" s="103"/>
    </row>
    <row r="40" spans="1:33">
      <c r="A40" s="103"/>
      <c r="B40" s="163"/>
      <c r="C40" s="103"/>
      <c r="D40" s="103"/>
      <c r="E40" s="103"/>
      <c r="F40" s="109"/>
      <c r="I40" s="103"/>
      <c r="J40" s="166"/>
      <c r="K40" s="166"/>
      <c r="L40" s="103"/>
      <c r="M40" s="103"/>
      <c r="N40" s="103"/>
      <c r="O40" s="103"/>
      <c r="P40" s="103"/>
      <c r="Q40" s="103"/>
      <c r="R40" s="103"/>
      <c r="S40" s="103"/>
      <c r="T40" s="103"/>
      <c r="U40" s="103"/>
      <c r="V40" s="103"/>
      <c r="W40" s="103"/>
      <c r="X40" s="103"/>
      <c r="Y40" s="103"/>
      <c r="Z40" s="103"/>
      <c r="AA40" s="103"/>
      <c r="AB40" s="103"/>
      <c r="AC40" s="103"/>
      <c r="AD40" s="103"/>
      <c r="AE40" s="103"/>
      <c r="AF40" s="103"/>
      <c r="AG40" s="103"/>
    </row>
    <row r="41" spans="1:33">
      <c r="A41" s="103"/>
      <c r="B41" s="163"/>
      <c r="C41" s="103"/>
      <c r="D41" s="103"/>
      <c r="E41" s="103"/>
      <c r="F41" s="109"/>
      <c r="I41" s="103"/>
      <c r="J41" s="166"/>
      <c r="K41" s="166"/>
      <c r="L41" s="103"/>
      <c r="M41" s="103"/>
      <c r="N41" s="103"/>
      <c r="O41" s="103"/>
      <c r="P41" s="103"/>
      <c r="Q41" s="103"/>
      <c r="R41" s="103"/>
      <c r="S41" s="103"/>
      <c r="T41" s="103"/>
      <c r="U41" s="103"/>
      <c r="V41" s="103"/>
      <c r="W41" s="103"/>
      <c r="X41" s="103"/>
      <c r="Y41" s="103"/>
      <c r="Z41" s="103"/>
      <c r="AA41" s="103"/>
      <c r="AB41" s="103"/>
      <c r="AC41" s="103"/>
      <c r="AD41" s="103"/>
      <c r="AE41" s="103"/>
      <c r="AF41" s="103"/>
      <c r="AG41" s="103"/>
    </row>
    <row r="42" spans="1:33">
      <c r="A42" s="103"/>
      <c r="B42" s="163"/>
      <c r="C42" s="103"/>
      <c r="D42" s="103"/>
      <c r="E42" s="103"/>
      <c r="F42" s="109"/>
      <c r="I42" s="103"/>
      <c r="J42" s="166"/>
      <c r="K42" s="166"/>
      <c r="L42" s="103"/>
      <c r="M42" s="103"/>
      <c r="N42" s="103"/>
      <c r="O42" s="103"/>
      <c r="P42" s="103"/>
      <c r="Q42" s="103"/>
      <c r="R42" s="103"/>
      <c r="S42" s="103"/>
      <c r="T42" s="103"/>
      <c r="U42" s="103"/>
      <c r="V42" s="103"/>
      <c r="W42" s="103"/>
      <c r="X42" s="103"/>
      <c r="Y42" s="103"/>
      <c r="Z42" s="103"/>
      <c r="AA42" s="103"/>
      <c r="AB42" s="103"/>
      <c r="AC42" s="103"/>
      <c r="AD42" s="103"/>
      <c r="AE42" s="103"/>
      <c r="AF42" s="103"/>
      <c r="AG42" s="103"/>
    </row>
    <row r="43" spans="1:33">
      <c r="A43" s="103"/>
      <c r="B43" s="163"/>
      <c r="C43" s="103"/>
      <c r="D43" s="103"/>
      <c r="E43" s="103"/>
      <c r="F43" s="109"/>
      <c r="I43" s="103"/>
      <c r="J43" s="166"/>
      <c r="K43" s="166"/>
      <c r="L43" s="103"/>
      <c r="M43" s="103"/>
      <c r="N43" s="103"/>
      <c r="O43" s="103"/>
      <c r="P43" s="103"/>
      <c r="Q43" s="103"/>
      <c r="R43" s="103"/>
      <c r="S43" s="103"/>
      <c r="T43" s="103"/>
      <c r="U43" s="103"/>
      <c r="V43" s="103"/>
      <c r="W43" s="103"/>
      <c r="X43" s="103"/>
      <c r="Y43" s="103"/>
      <c r="Z43" s="103"/>
      <c r="AA43" s="103"/>
      <c r="AB43" s="103"/>
      <c r="AC43" s="103"/>
      <c r="AD43" s="103"/>
      <c r="AE43" s="103"/>
      <c r="AF43" s="103"/>
      <c r="AG43" s="103"/>
    </row>
    <row r="44" spans="1:33">
      <c r="A44" s="103"/>
      <c r="B44" s="163"/>
      <c r="C44" s="103"/>
      <c r="D44" s="103"/>
      <c r="E44" s="103"/>
      <c r="F44" s="109"/>
      <c r="G44" s="103"/>
      <c r="H44" s="103"/>
      <c r="I44" s="103"/>
      <c r="J44" s="166"/>
      <c r="K44" s="166"/>
      <c r="L44" s="103"/>
      <c r="M44" s="103"/>
      <c r="N44" s="103"/>
      <c r="O44" s="103"/>
      <c r="P44" s="103"/>
      <c r="Q44" s="103"/>
      <c r="R44" s="103"/>
      <c r="S44" s="103"/>
      <c r="T44" s="103"/>
      <c r="U44" s="103"/>
      <c r="V44" s="103"/>
      <c r="W44" s="103"/>
      <c r="X44" s="103"/>
      <c r="Y44" s="103"/>
      <c r="Z44" s="103"/>
      <c r="AA44" s="103"/>
      <c r="AB44" s="103"/>
      <c r="AC44" s="103"/>
      <c r="AD44" s="103"/>
      <c r="AE44" s="103"/>
      <c r="AF44" s="103"/>
      <c r="AG44" s="103"/>
    </row>
    <row r="45" spans="1:33">
      <c r="A45" s="103"/>
      <c r="B45" s="163"/>
      <c r="C45" s="103"/>
      <c r="D45" s="103"/>
      <c r="E45" s="103"/>
      <c r="F45" s="103"/>
      <c r="G45" s="103"/>
      <c r="H45" s="103"/>
      <c r="I45" s="103"/>
      <c r="J45" s="163"/>
      <c r="K45" s="163"/>
      <c r="L45" s="103"/>
      <c r="M45" s="103"/>
      <c r="N45" s="103"/>
      <c r="O45" s="103"/>
      <c r="P45" s="103"/>
      <c r="Q45" s="103"/>
      <c r="R45" s="103"/>
      <c r="S45" s="103"/>
      <c r="T45" s="103"/>
      <c r="U45" s="103"/>
      <c r="V45" s="103"/>
      <c r="W45" s="103"/>
      <c r="X45" s="103"/>
      <c r="Y45" s="103"/>
      <c r="Z45" s="103"/>
      <c r="AA45" s="103"/>
      <c r="AB45" s="103"/>
      <c r="AC45" s="103"/>
      <c r="AD45" s="103"/>
      <c r="AE45" s="103"/>
      <c r="AF45" s="103"/>
      <c r="AG45" s="103"/>
    </row>
    <row r="46" spans="1:33">
      <c r="A46" s="103"/>
      <c r="B46" s="163"/>
      <c r="C46" s="103"/>
      <c r="D46" s="103"/>
      <c r="E46" s="103"/>
      <c r="F46" s="103"/>
      <c r="G46" s="103"/>
      <c r="H46" s="103"/>
      <c r="I46" s="103"/>
      <c r="J46" s="163"/>
      <c r="K46" s="163"/>
      <c r="L46" s="103"/>
      <c r="M46" s="103"/>
      <c r="N46" s="103"/>
      <c r="O46" s="103"/>
      <c r="P46" s="103"/>
      <c r="Q46" s="103"/>
      <c r="R46" s="103"/>
      <c r="S46" s="103"/>
      <c r="T46" s="103"/>
      <c r="U46" s="103"/>
      <c r="V46" s="103"/>
      <c r="W46" s="103"/>
      <c r="X46" s="103"/>
      <c r="Y46" s="103"/>
      <c r="Z46" s="103"/>
      <c r="AA46" s="103"/>
      <c r="AB46" s="103"/>
      <c r="AC46" s="103"/>
      <c r="AD46" s="103"/>
      <c r="AE46" s="103"/>
      <c r="AF46" s="103"/>
      <c r="AG46" s="103"/>
    </row>
    <row r="47" spans="1:33">
      <c r="A47" s="103"/>
      <c r="B47" s="163"/>
      <c r="C47" s="103"/>
      <c r="D47" s="103"/>
      <c r="E47" s="103"/>
      <c r="F47" s="103"/>
      <c r="G47" s="103"/>
      <c r="H47" s="103"/>
      <c r="I47" s="103"/>
      <c r="J47" s="163"/>
      <c r="K47" s="163"/>
      <c r="L47" s="103"/>
      <c r="M47" s="103"/>
      <c r="N47" s="103"/>
      <c r="O47" s="103"/>
      <c r="P47" s="103"/>
      <c r="Q47" s="103"/>
      <c r="R47" s="103"/>
      <c r="S47" s="103"/>
      <c r="T47" s="103"/>
      <c r="U47" s="103"/>
      <c r="V47" s="103"/>
      <c r="W47" s="103"/>
      <c r="X47" s="103"/>
      <c r="Y47" s="103"/>
      <c r="Z47" s="103"/>
      <c r="AA47" s="103"/>
      <c r="AB47" s="103"/>
      <c r="AC47" s="103"/>
      <c r="AD47" s="103"/>
      <c r="AE47" s="103"/>
      <c r="AF47" s="103"/>
      <c r="AG47" s="103"/>
    </row>
    <row r="48" spans="1:33">
      <c r="A48" s="103"/>
      <c r="B48" s="163"/>
      <c r="C48" s="103"/>
      <c r="D48" s="103"/>
      <c r="E48" s="103"/>
      <c r="F48" s="103"/>
      <c r="G48" s="103"/>
      <c r="H48" s="103"/>
      <c r="I48" s="103"/>
      <c r="J48" s="163"/>
      <c r="K48" s="163"/>
      <c r="L48" s="103"/>
      <c r="M48" s="103"/>
      <c r="N48" s="103"/>
      <c r="O48" s="103"/>
      <c r="P48" s="103"/>
      <c r="Q48" s="103"/>
      <c r="R48" s="103"/>
      <c r="S48" s="103"/>
      <c r="T48" s="103"/>
      <c r="U48" s="103"/>
      <c r="V48" s="103"/>
      <c r="W48" s="103"/>
      <c r="X48" s="103"/>
      <c r="Y48" s="103"/>
      <c r="Z48" s="103"/>
      <c r="AA48" s="103"/>
      <c r="AB48" s="103"/>
      <c r="AC48" s="103"/>
      <c r="AD48" s="103"/>
      <c r="AE48" s="103"/>
      <c r="AF48" s="103"/>
      <c r="AG48" s="103"/>
    </row>
    <row r="49" spans="1:33">
      <c r="A49" s="103"/>
      <c r="B49" s="163"/>
      <c r="C49" s="103"/>
      <c r="D49" s="103"/>
      <c r="E49" s="103"/>
      <c r="F49" s="103"/>
      <c r="G49" s="103"/>
      <c r="H49" s="103"/>
      <c r="I49" s="103"/>
      <c r="J49" s="163"/>
      <c r="K49" s="163"/>
      <c r="L49" s="103"/>
      <c r="M49" s="103"/>
      <c r="N49" s="103"/>
      <c r="O49" s="103"/>
      <c r="P49" s="103"/>
      <c r="Q49" s="103"/>
      <c r="R49" s="103"/>
      <c r="S49" s="103"/>
      <c r="T49" s="103"/>
      <c r="U49" s="103"/>
      <c r="V49" s="103"/>
      <c r="W49" s="103"/>
      <c r="X49" s="103"/>
      <c r="Y49" s="103"/>
      <c r="Z49" s="103"/>
      <c r="AA49" s="103"/>
      <c r="AB49" s="103"/>
      <c r="AC49" s="103"/>
      <c r="AD49" s="103"/>
      <c r="AE49" s="103"/>
      <c r="AF49" s="103"/>
      <c r="AG49" s="103"/>
    </row>
    <row r="50" spans="1:33">
      <c r="A50" s="103"/>
      <c r="B50" s="163"/>
      <c r="C50" s="103"/>
      <c r="D50" s="103"/>
      <c r="E50" s="103"/>
      <c r="F50" s="103"/>
      <c r="G50" s="103"/>
      <c r="H50" s="103"/>
      <c r="I50" s="103"/>
      <c r="J50" s="163"/>
      <c r="K50" s="163"/>
      <c r="L50" s="103"/>
      <c r="M50" s="103"/>
      <c r="N50" s="103"/>
      <c r="O50" s="103"/>
      <c r="P50" s="103"/>
      <c r="Q50" s="103"/>
      <c r="R50" s="103"/>
      <c r="S50" s="103"/>
      <c r="T50" s="103"/>
      <c r="U50" s="103"/>
      <c r="V50" s="103"/>
      <c r="W50" s="103"/>
      <c r="X50" s="103"/>
      <c r="Y50" s="103"/>
      <c r="Z50" s="103"/>
      <c r="AA50" s="103"/>
      <c r="AB50" s="103"/>
      <c r="AC50" s="103"/>
      <c r="AD50" s="103"/>
      <c r="AE50" s="103"/>
      <c r="AF50" s="103"/>
      <c r="AG50" s="103"/>
    </row>
    <row r="51" spans="1:33">
      <c r="A51" s="103"/>
      <c r="B51" s="163"/>
      <c r="C51" s="103"/>
      <c r="D51" s="103"/>
      <c r="E51" s="103"/>
      <c r="F51" s="103"/>
      <c r="G51" s="103"/>
      <c r="H51" s="103"/>
      <c r="I51" s="103"/>
      <c r="J51" s="163"/>
      <c r="K51" s="163"/>
      <c r="L51" s="103"/>
      <c r="M51" s="103"/>
      <c r="N51" s="103"/>
      <c r="O51" s="103"/>
      <c r="P51" s="103"/>
      <c r="Q51" s="103"/>
      <c r="R51" s="103"/>
      <c r="S51" s="103"/>
      <c r="T51" s="103"/>
      <c r="U51" s="103"/>
      <c r="V51" s="103"/>
      <c r="W51" s="103"/>
      <c r="X51" s="103"/>
      <c r="Y51" s="103"/>
      <c r="Z51" s="103"/>
      <c r="AA51" s="103"/>
      <c r="AB51" s="103"/>
      <c r="AC51" s="103"/>
      <c r="AD51" s="103"/>
      <c r="AE51" s="103"/>
      <c r="AF51" s="103"/>
      <c r="AG51" s="103"/>
    </row>
    <row r="52" spans="1:33">
      <c r="A52" s="103"/>
      <c r="B52" s="163"/>
      <c r="C52" s="103"/>
      <c r="D52" s="103"/>
      <c r="E52" s="103"/>
      <c r="F52" s="103"/>
      <c r="G52" s="103"/>
      <c r="H52" s="103"/>
      <c r="I52" s="103"/>
      <c r="J52" s="163"/>
      <c r="K52" s="163"/>
      <c r="L52" s="103"/>
      <c r="M52" s="103"/>
      <c r="N52" s="103"/>
      <c r="O52" s="103"/>
      <c r="P52" s="103"/>
      <c r="Q52" s="103"/>
      <c r="R52" s="103"/>
      <c r="S52" s="103"/>
      <c r="T52" s="103"/>
      <c r="U52" s="103"/>
      <c r="V52" s="103"/>
      <c r="W52" s="103"/>
      <c r="X52" s="103"/>
      <c r="Y52" s="103"/>
      <c r="Z52" s="103"/>
      <c r="AA52" s="103"/>
      <c r="AB52" s="103"/>
      <c r="AC52" s="103"/>
      <c r="AD52" s="103"/>
      <c r="AE52" s="103"/>
      <c r="AF52" s="103"/>
      <c r="AG52" s="103"/>
    </row>
    <row r="53" spans="1:33">
      <c r="A53" s="103"/>
      <c r="B53" s="163"/>
      <c r="C53" s="103"/>
      <c r="D53" s="103"/>
      <c r="E53" s="103"/>
      <c r="F53" s="103"/>
      <c r="G53" s="103"/>
      <c r="H53" s="103"/>
      <c r="I53" s="103"/>
      <c r="J53" s="163"/>
      <c r="K53" s="163"/>
      <c r="L53" s="103"/>
      <c r="M53" s="103"/>
      <c r="N53" s="103"/>
      <c r="O53" s="103"/>
      <c r="P53" s="103"/>
      <c r="Q53" s="103"/>
      <c r="R53" s="103"/>
      <c r="S53" s="103"/>
      <c r="T53" s="103"/>
      <c r="U53" s="103"/>
      <c r="V53" s="103"/>
      <c r="W53" s="103"/>
      <c r="X53" s="103"/>
      <c r="Y53" s="103"/>
      <c r="Z53" s="103"/>
      <c r="AA53" s="103"/>
      <c r="AB53" s="103"/>
      <c r="AC53" s="103"/>
      <c r="AD53" s="103"/>
      <c r="AE53" s="103"/>
      <c r="AF53" s="103"/>
      <c r="AG53" s="103"/>
    </row>
    <row r="54" spans="1:33">
      <c r="A54" s="103"/>
      <c r="B54" s="163"/>
      <c r="C54" s="103"/>
      <c r="D54" s="103"/>
      <c r="E54" s="103"/>
      <c r="F54" s="103"/>
      <c r="G54" s="103"/>
      <c r="H54" s="103"/>
      <c r="I54" s="103"/>
      <c r="J54" s="163"/>
      <c r="K54" s="163"/>
      <c r="L54" s="103"/>
      <c r="M54" s="103"/>
      <c r="N54" s="103"/>
      <c r="O54" s="103"/>
      <c r="P54" s="103"/>
      <c r="Q54" s="103"/>
      <c r="R54" s="103"/>
      <c r="S54" s="103"/>
      <c r="T54" s="103"/>
      <c r="U54" s="103"/>
      <c r="V54" s="103"/>
      <c r="W54" s="103"/>
      <c r="X54" s="103"/>
      <c r="Y54" s="103"/>
      <c r="Z54" s="103"/>
      <c r="AA54" s="103"/>
      <c r="AB54" s="103"/>
      <c r="AC54" s="103"/>
      <c r="AD54" s="103"/>
      <c r="AE54" s="103"/>
      <c r="AF54" s="103"/>
      <c r="AG54" s="103"/>
    </row>
    <row r="55" spans="1:33">
      <c r="A55" s="103"/>
      <c r="B55" s="163"/>
      <c r="C55" s="103"/>
      <c r="D55" s="103"/>
      <c r="E55" s="103"/>
      <c r="F55" s="103"/>
      <c r="G55" s="103"/>
      <c r="H55" s="103"/>
      <c r="I55" s="103"/>
      <c r="J55" s="163"/>
      <c r="K55" s="163"/>
      <c r="L55" s="103"/>
      <c r="M55" s="103"/>
      <c r="N55" s="103"/>
      <c r="O55" s="103"/>
      <c r="P55" s="103"/>
      <c r="Q55" s="103"/>
      <c r="R55" s="103"/>
      <c r="S55" s="103"/>
      <c r="T55" s="103"/>
      <c r="U55" s="103"/>
      <c r="V55" s="103"/>
      <c r="W55" s="103"/>
      <c r="X55" s="103"/>
      <c r="Y55" s="103"/>
      <c r="Z55" s="103"/>
      <c r="AA55" s="103"/>
      <c r="AB55" s="103"/>
      <c r="AC55" s="103"/>
      <c r="AD55" s="103"/>
      <c r="AE55" s="103"/>
      <c r="AF55" s="103"/>
      <c r="AG55" s="103"/>
    </row>
    <row r="56" spans="1:33">
      <c r="A56" s="103"/>
      <c r="B56" s="163"/>
      <c r="C56" s="103"/>
      <c r="D56" s="103"/>
      <c r="E56" s="103"/>
      <c r="F56" s="103"/>
      <c r="G56" s="103"/>
      <c r="H56" s="103"/>
      <c r="I56" s="103"/>
      <c r="J56" s="163"/>
      <c r="K56" s="163"/>
      <c r="L56" s="103"/>
      <c r="M56" s="103"/>
      <c r="N56" s="103"/>
      <c r="O56" s="103"/>
      <c r="P56" s="103"/>
      <c r="Q56" s="103"/>
      <c r="R56" s="103"/>
      <c r="S56" s="103"/>
      <c r="T56" s="103"/>
      <c r="U56" s="103"/>
      <c r="V56" s="103"/>
      <c r="W56" s="103"/>
      <c r="X56" s="103"/>
      <c r="Y56" s="103"/>
      <c r="Z56" s="103"/>
      <c r="AA56" s="103"/>
      <c r="AB56" s="103"/>
      <c r="AC56" s="103"/>
      <c r="AD56" s="103"/>
      <c r="AE56" s="103"/>
      <c r="AF56" s="103"/>
      <c r="AG56" s="103"/>
    </row>
    <row r="57" spans="1:33">
      <c r="A57" s="103"/>
      <c r="B57" s="163"/>
      <c r="C57" s="103"/>
      <c r="D57" s="103"/>
      <c r="E57" s="103"/>
      <c r="F57" s="103"/>
      <c r="G57" s="103"/>
      <c r="H57" s="103"/>
      <c r="I57" s="103"/>
      <c r="J57" s="163"/>
      <c r="K57" s="163"/>
      <c r="L57" s="103"/>
      <c r="M57" s="103"/>
      <c r="N57" s="103"/>
      <c r="O57" s="103"/>
      <c r="P57" s="103"/>
      <c r="Q57" s="103"/>
      <c r="R57" s="103"/>
      <c r="S57" s="103"/>
      <c r="T57" s="103"/>
      <c r="U57" s="103"/>
      <c r="V57" s="103"/>
      <c r="W57" s="103"/>
      <c r="X57" s="103"/>
      <c r="Y57" s="103"/>
      <c r="Z57" s="103"/>
      <c r="AA57" s="103"/>
      <c r="AB57" s="103"/>
      <c r="AC57" s="103"/>
      <c r="AD57" s="103"/>
      <c r="AE57" s="103"/>
      <c r="AF57" s="103"/>
      <c r="AG57" s="103"/>
    </row>
    <row r="58" spans="1:33">
      <c r="A58" s="103"/>
      <c r="B58" s="163"/>
      <c r="C58" s="103"/>
      <c r="D58" s="103"/>
      <c r="E58" s="103"/>
      <c r="F58" s="103"/>
      <c r="G58" s="103"/>
      <c r="H58" s="103"/>
      <c r="I58" s="103"/>
      <c r="J58" s="163"/>
      <c r="K58" s="163"/>
      <c r="L58" s="103"/>
      <c r="M58" s="103"/>
      <c r="N58" s="103"/>
      <c r="O58" s="103"/>
      <c r="P58" s="103"/>
      <c r="Q58" s="103"/>
      <c r="R58" s="103"/>
      <c r="S58" s="103"/>
      <c r="T58" s="103"/>
      <c r="U58" s="103"/>
      <c r="V58" s="103"/>
      <c r="W58" s="103"/>
      <c r="X58" s="103"/>
      <c r="Y58" s="103"/>
      <c r="Z58" s="103"/>
      <c r="AA58" s="103"/>
      <c r="AB58" s="103"/>
      <c r="AC58" s="103"/>
      <c r="AD58" s="103"/>
      <c r="AE58" s="103"/>
      <c r="AF58" s="103"/>
      <c r="AG58" s="103"/>
    </row>
    <row r="59" spans="1:33">
      <c r="A59" s="103"/>
      <c r="B59" s="163"/>
      <c r="C59" s="103"/>
      <c r="D59" s="103"/>
      <c r="E59" s="103"/>
      <c r="F59" s="103"/>
      <c r="G59" s="103"/>
      <c r="H59" s="103"/>
      <c r="I59" s="103"/>
      <c r="J59" s="163"/>
      <c r="K59" s="163"/>
      <c r="L59" s="103"/>
      <c r="M59" s="103"/>
      <c r="N59" s="103"/>
      <c r="O59" s="103"/>
      <c r="P59" s="103"/>
      <c r="Q59" s="103"/>
      <c r="R59" s="103"/>
      <c r="S59" s="103"/>
      <c r="T59" s="103"/>
      <c r="U59" s="103"/>
      <c r="V59" s="103"/>
      <c r="W59" s="103"/>
      <c r="X59" s="103"/>
      <c r="Y59" s="103"/>
      <c r="Z59" s="103"/>
      <c r="AA59" s="103"/>
      <c r="AB59" s="103"/>
      <c r="AC59" s="103"/>
      <c r="AD59" s="103"/>
      <c r="AE59" s="103"/>
      <c r="AF59" s="103"/>
      <c r="AG59" s="103"/>
    </row>
    <row r="60" spans="1:33">
      <c r="A60" s="103"/>
      <c r="B60" s="163"/>
      <c r="C60" s="103"/>
      <c r="D60" s="103"/>
      <c r="E60" s="103"/>
      <c r="F60" s="103"/>
      <c r="G60" s="103"/>
      <c r="H60" s="103"/>
      <c r="I60" s="103"/>
      <c r="J60" s="163"/>
      <c r="K60" s="163"/>
      <c r="L60" s="103"/>
      <c r="M60" s="103"/>
      <c r="N60" s="103"/>
      <c r="O60" s="103"/>
      <c r="P60" s="103"/>
      <c r="Q60" s="103"/>
      <c r="R60" s="103"/>
      <c r="S60" s="103"/>
      <c r="T60" s="103"/>
      <c r="U60" s="103"/>
      <c r="V60" s="103"/>
      <c r="W60" s="103"/>
      <c r="X60" s="103"/>
      <c r="Y60" s="103"/>
      <c r="Z60" s="103"/>
      <c r="AA60" s="103"/>
      <c r="AB60" s="103"/>
      <c r="AC60" s="103"/>
      <c r="AD60" s="103"/>
      <c r="AE60" s="103"/>
      <c r="AF60" s="103"/>
      <c r="AG60" s="103"/>
    </row>
    <row r="61" spans="1:33">
      <c r="A61" s="103"/>
      <c r="B61" s="163"/>
      <c r="C61" s="103"/>
      <c r="D61" s="103"/>
      <c r="E61" s="103"/>
      <c r="F61" s="103"/>
      <c r="G61" s="103"/>
      <c r="H61" s="103"/>
      <c r="I61" s="103"/>
      <c r="J61" s="163"/>
      <c r="K61" s="163"/>
      <c r="L61" s="103"/>
      <c r="M61" s="103"/>
      <c r="N61" s="103"/>
      <c r="O61" s="103"/>
      <c r="P61" s="103"/>
      <c r="Q61" s="103"/>
      <c r="R61" s="103"/>
      <c r="S61" s="103"/>
      <c r="T61" s="103"/>
      <c r="U61" s="103"/>
      <c r="V61" s="103"/>
      <c r="W61" s="103"/>
      <c r="X61" s="103"/>
      <c r="Y61" s="103"/>
      <c r="Z61" s="103"/>
      <c r="AA61" s="103"/>
      <c r="AB61" s="103"/>
      <c r="AC61" s="103"/>
      <c r="AD61" s="103"/>
      <c r="AE61" s="103"/>
      <c r="AF61" s="103"/>
      <c r="AG61" s="103"/>
    </row>
    <row r="62" spans="1:33">
      <c r="A62" s="103"/>
      <c r="B62" s="163"/>
      <c r="C62" s="103"/>
      <c r="D62" s="103"/>
      <c r="E62" s="103"/>
      <c r="F62" s="103"/>
      <c r="G62" s="103"/>
      <c r="H62" s="103"/>
      <c r="I62" s="103"/>
      <c r="J62" s="163"/>
      <c r="K62" s="163"/>
      <c r="L62" s="103"/>
      <c r="M62" s="103"/>
      <c r="N62" s="103"/>
      <c r="O62" s="103"/>
      <c r="P62" s="103"/>
      <c r="Q62" s="103"/>
      <c r="R62" s="103"/>
      <c r="S62" s="103"/>
      <c r="T62" s="103"/>
      <c r="U62" s="103"/>
      <c r="V62" s="103"/>
      <c r="W62" s="103"/>
      <c r="X62" s="103"/>
      <c r="Y62" s="103"/>
      <c r="Z62" s="103"/>
      <c r="AA62" s="103"/>
      <c r="AB62" s="103"/>
      <c r="AC62" s="103"/>
      <c r="AD62" s="103"/>
      <c r="AE62" s="103"/>
      <c r="AF62" s="103"/>
      <c r="AG62" s="103"/>
    </row>
    <row r="63" spans="1:33">
      <c r="A63" s="103"/>
      <c r="B63" s="163"/>
      <c r="C63" s="103"/>
      <c r="D63" s="103"/>
      <c r="E63" s="103"/>
      <c r="F63" s="103"/>
      <c r="G63" s="103"/>
      <c r="H63" s="103"/>
      <c r="I63" s="103"/>
      <c r="J63" s="163"/>
      <c r="K63" s="163"/>
      <c r="L63" s="103"/>
      <c r="M63" s="103"/>
      <c r="N63" s="103"/>
      <c r="O63" s="103"/>
      <c r="P63" s="103"/>
      <c r="Q63" s="103"/>
      <c r="R63" s="103"/>
      <c r="S63" s="103"/>
      <c r="T63" s="103"/>
      <c r="U63" s="103"/>
      <c r="V63" s="103"/>
      <c r="W63" s="103"/>
      <c r="X63" s="103"/>
      <c r="Y63" s="103"/>
      <c r="Z63" s="103"/>
      <c r="AA63" s="103"/>
      <c r="AB63" s="103"/>
      <c r="AC63" s="103"/>
      <c r="AD63" s="103"/>
      <c r="AE63" s="103"/>
      <c r="AF63" s="103"/>
      <c r="AG63" s="103"/>
    </row>
    <row r="64" spans="1:33">
      <c r="A64" s="103"/>
      <c r="B64" s="163"/>
      <c r="C64" s="103"/>
      <c r="D64" s="103"/>
      <c r="E64" s="103"/>
      <c r="F64" s="103"/>
      <c r="G64" s="103"/>
      <c r="H64" s="103"/>
      <c r="I64" s="103"/>
      <c r="J64" s="163"/>
      <c r="K64" s="163"/>
      <c r="L64" s="103"/>
      <c r="M64" s="103"/>
      <c r="N64" s="103"/>
      <c r="O64" s="103"/>
      <c r="P64" s="103"/>
      <c r="Q64" s="103"/>
      <c r="R64" s="103"/>
      <c r="S64" s="103"/>
      <c r="T64" s="103"/>
      <c r="U64" s="103"/>
      <c r="V64" s="103"/>
      <c r="W64" s="103"/>
      <c r="X64" s="103"/>
      <c r="Y64" s="103"/>
      <c r="Z64" s="103"/>
      <c r="AA64" s="103"/>
      <c r="AB64" s="103"/>
      <c r="AC64" s="103"/>
      <c r="AD64" s="103"/>
      <c r="AE64" s="103"/>
      <c r="AF64" s="103"/>
      <c r="AG64" s="103"/>
    </row>
    <row r="65" spans="1:33">
      <c r="A65" s="103"/>
      <c r="B65" s="163"/>
      <c r="C65" s="103"/>
      <c r="D65" s="103"/>
      <c r="E65" s="103"/>
      <c r="F65" s="103"/>
      <c r="G65" s="103"/>
      <c r="H65" s="103"/>
      <c r="I65" s="103"/>
      <c r="J65" s="163"/>
      <c r="K65" s="163"/>
      <c r="L65" s="103"/>
      <c r="M65" s="103"/>
      <c r="N65" s="103"/>
      <c r="O65" s="103"/>
      <c r="P65" s="103"/>
      <c r="Q65" s="103"/>
      <c r="R65" s="103"/>
      <c r="S65" s="103"/>
      <c r="T65" s="103"/>
      <c r="U65" s="103"/>
      <c r="V65" s="103"/>
      <c r="W65" s="103"/>
      <c r="X65" s="103"/>
      <c r="Y65" s="103"/>
      <c r="Z65" s="103"/>
      <c r="AA65" s="103"/>
      <c r="AB65" s="103"/>
      <c r="AC65" s="103"/>
      <c r="AD65" s="103"/>
      <c r="AE65" s="103"/>
      <c r="AF65" s="103"/>
      <c r="AG65" s="103"/>
    </row>
    <row r="66" spans="1:33">
      <c r="A66" s="103"/>
      <c r="B66" s="163"/>
      <c r="C66" s="103"/>
      <c r="D66" s="103"/>
      <c r="E66" s="103"/>
      <c r="F66" s="103"/>
      <c r="G66" s="103"/>
      <c r="H66" s="103"/>
      <c r="I66" s="103"/>
      <c r="J66" s="163"/>
      <c r="K66" s="163"/>
      <c r="L66" s="103"/>
      <c r="M66" s="103"/>
      <c r="N66" s="103"/>
      <c r="O66" s="103"/>
      <c r="P66" s="103"/>
      <c r="Q66" s="103"/>
      <c r="R66" s="103"/>
      <c r="S66" s="103"/>
      <c r="T66" s="103"/>
      <c r="U66" s="103"/>
      <c r="V66" s="103"/>
      <c r="W66" s="103"/>
      <c r="X66" s="103"/>
      <c r="Y66" s="103"/>
      <c r="Z66" s="103"/>
      <c r="AA66" s="103"/>
      <c r="AB66" s="103"/>
      <c r="AC66" s="103"/>
      <c r="AD66" s="103"/>
      <c r="AE66" s="103"/>
      <c r="AF66" s="103"/>
      <c r="AG66" s="103"/>
    </row>
    <row r="67" spans="1:33">
      <c r="A67" s="103"/>
      <c r="B67" s="163"/>
      <c r="C67" s="103"/>
      <c r="D67" s="103"/>
      <c r="E67" s="103"/>
      <c r="F67" s="103"/>
      <c r="G67" s="103"/>
      <c r="H67" s="103"/>
      <c r="I67" s="103"/>
      <c r="J67" s="163"/>
      <c r="K67" s="163"/>
      <c r="L67" s="103"/>
      <c r="M67" s="103"/>
      <c r="N67" s="103"/>
      <c r="O67" s="103"/>
      <c r="P67" s="103"/>
      <c r="Q67" s="103"/>
      <c r="R67" s="103"/>
      <c r="S67" s="103"/>
      <c r="T67" s="103"/>
      <c r="U67" s="103"/>
      <c r="V67" s="103"/>
      <c r="W67" s="103"/>
      <c r="X67" s="103"/>
      <c r="Y67" s="103"/>
      <c r="Z67" s="103"/>
      <c r="AA67" s="103"/>
      <c r="AB67" s="103"/>
      <c r="AC67" s="103"/>
      <c r="AD67" s="103"/>
      <c r="AE67" s="103"/>
      <c r="AF67" s="103"/>
      <c r="AG67" s="103"/>
    </row>
    <row r="68" spans="1:33">
      <c r="A68" s="103"/>
      <c r="B68" s="163"/>
      <c r="C68" s="103"/>
      <c r="D68" s="103"/>
      <c r="E68" s="103"/>
      <c r="F68" s="103"/>
      <c r="G68" s="103"/>
      <c r="H68" s="103"/>
      <c r="I68" s="103"/>
      <c r="J68" s="163"/>
      <c r="K68" s="163"/>
      <c r="L68" s="103"/>
      <c r="M68" s="103"/>
      <c r="N68" s="103"/>
      <c r="O68" s="103"/>
      <c r="P68" s="103"/>
      <c r="Q68" s="103"/>
      <c r="R68" s="103"/>
      <c r="S68" s="103"/>
      <c r="T68" s="103"/>
      <c r="U68" s="103"/>
      <c r="V68" s="103"/>
      <c r="W68" s="103"/>
      <c r="X68" s="103"/>
      <c r="Y68" s="103"/>
      <c r="Z68" s="103"/>
      <c r="AA68" s="103"/>
      <c r="AB68" s="103"/>
      <c r="AC68" s="103"/>
      <c r="AD68" s="103"/>
      <c r="AE68" s="103"/>
      <c r="AF68" s="103"/>
      <c r="AG68" s="103"/>
    </row>
    <row r="69" spans="1:33">
      <c r="A69" s="103"/>
      <c r="B69" s="163"/>
      <c r="C69" s="103"/>
      <c r="D69" s="103"/>
      <c r="E69" s="103"/>
      <c r="F69" s="103"/>
      <c r="G69" s="103"/>
      <c r="H69" s="103"/>
      <c r="I69" s="103"/>
      <c r="J69" s="163"/>
      <c r="K69" s="163"/>
    </row>
    <row r="70" spans="1:33">
      <c r="A70" s="103"/>
      <c r="B70" s="163"/>
      <c r="C70" s="103"/>
      <c r="D70" s="103"/>
      <c r="E70" s="103"/>
      <c r="F70" s="103"/>
      <c r="G70" s="103"/>
      <c r="H70" s="103"/>
      <c r="I70" s="103"/>
      <c r="J70" s="163"/>
      <c r="K70" s="163"/>
    </row>
    <row r="71" spans="1:33">
      <c r="A71" s="103"/>
      <c r="B71" s="163"/>
      <c r="C71" s="103"/>
      <c r="D71" s="103"/>
      <c r="E71" s="103"/>
      <c r="F71" s="103"/>
      <c r="G71" s="103"/>
      <c r="H71" s="103"/>
      <c r="I71" s="103"/>
      <c r="J71" s="163"/>
      <c r="K71" s="163"/>
    </row>
    <row r="72" spans="1:33">
      <c r="A72" s="103"/>
      <c r="B72" s="163"/>
      <c r="C72" s="103"/>
      <c r="D72" s="103"/>
      <c r="E72" s="103"/>
      <c r="F72" s="103"/>
      <c r="G72" s="103"/>
      <c r="H72" s="103"/>
      <c r="I72" s="103"/>
      <c r="J72" s="163"/>
      <c r="K72" s="163"/>
    </row>
    <row r="73" spans="1:33">
      <c r="A73" s="103"/>
      <c r="B73" s="163"/>
      <c r="C73" s="103"/>
      <c r="D73" s="103"/>
      <c r="E73" s="103"/>
      <c r="F73" s="103"/>
      <c r="G73" s="103"/>
      <c r="H73" s="103"/>
      <c r="I73" s="103"/>
      <c r="J73" s="163"/>
      <c r="K73" s="163"/>
    </row>
    <row r="74" spans="1:33">
      <c r="A74" s="103"/>
      <c r="B74" s="163"/>
      <c r="C74" s="103"/>
      <c r="D74" s="103"/>
      <c r="E74" s="103"/>
      <c r="F74" s="103"/>
      <c r="G74" s="103"/>
      <c r="H74" s="103"/>
      <c r="I74" s="103"/>
      <c r="J74" s="163"/>
      <c r="K74" s="163"/>
    </row>
    <row r="75" spans="1:33">
      <c r="A75" s="103"/>
      <c r="B75" s="163"/>
      <c r="C75" s="103"/>
      <c r="D75" s="103"/>
      <c r="E75" s="103"/>
      <c r="F75" s="103"/>
      <c r="G75" s="103"/>
      <c r="H75" s="103"/>
      <c r="I75" s="103"/>
      <c r="J75" s="163"/>
      <c r="K75" s="163"/>
    </row>
    <row r="76" spans="1:33">
      <c r="A76" s="103"/>
      <c r="B76" s="163"/>
      <c r="C76" s="103"/>
      <c r="D76" s="103"/>
      <c r="E76" s="103"/>
      <c r="F76" s="103"/>
      <c r="G76" s="103"/>
      <c r="H76" s="103"/>
      <c r="I76" s="103"/>
      <c r="J76" s="163"/>
      <c r="K76" s="163"/>
    </row>
    <row r="77" spans="1:33">
      <c r="A77" s="103"/>
      <c r="B77" s="163"/>
      <c r="C77" s="103"/>
      <c r="D77" s="103"/>
      <c r="E77" s="103"/>
      <c r="F77" s="103"/>
      <c r="G77" s="103"/>
      <c r="H77" s="103"/>
      <c r="I77" s="103"/>
      <c r="J77" s="163"/>
      <c r="K77" s="163"/>
    </row>
    <row r="78" spans="1:33">
      <c r="A78" s="103"/>
      <c r="B78" s="163"/>
      <c r="C78" s="103"/>
      <c r="D78" s="103"/>
      <c r="E78" s="103"/>
      <c r="F78" s="103"/>
      <c r="G78" s="103"/>
      <c r="H78" s="103"/>
      <c r="I78" s="103"/>
      <c r="J78" s="163"/>
      <c r="K78" s="163"/>
    </row>
    <row r="79" spans="1:33">
      <c r="A79" s="103"/>
      <c r="B79" s="163"/>
      <c r="C79" s="103"/>
      <c r="D79" s="103"/>
      <c r="E79" s="103"/>
      <c r="F79" s="103"/>
      <c r="G79" s="103"/>
      <c r="H79" s="103"/>
      <c r="I79" s="103"/>
      <c r="J79" s="163"/>
      <c r="K79" s="163"/>
    </row>
    <row r="80" spans="1:33">
      <c r="A80" s="103"/>
      <c r="B80" s="163"/>
      <c r="C80" s="103"/>
      <c r="D80" s="103"/>
      <c r="E80" s="103"/>
      <c r="F80" s="103"/>
      <c r="G80" s="103"/>
      <c r="H80" s="103"/>
      <c r="I80" s="103"/>
      <c r="J80" s="163"/>
      <c r="K80" s="163"/>
    </row>
    <row r="81" spans="1:11">
      <c r="A81" s="103"/>
      <c r="B81" s="163"/>
      <c r="C81" s="103"/>
      <c r="D81" s="103"/>
      <c r="E81" s="103"/>
      <c r="F81" s="103"/>
      <c r="G81" s="103"/>
      <c r="H81" s="103"/>
      <c r="I81" s="103"/>
      <c r="J81" s="163"/>
      <c r="K81" s="163"/>
    </row>
    <row r="82" spans="1:11">
      <c r="A82" s="103"/>
      <c r="B82" s="163"/>
      <c r="C82" s="103"/>
      <c r="D82" s="103"/>
      <c r="E82" s="103"/>
      <c r="F82" s="103"/>
      <c r="G82" s="103"/>
      <c r="H82" s="103"/>
      <c r="I82" s="103"/>
      <c r="J82" s="163"/>
      <c r="K82" s="163"/>
    </row>
    <row r="83" spans="1:11">
      <c r="A83" s="103"/>
      <c r="B83" s="163"/>
      <c r="C83" s="103"/>
      <c r="D83" s="103"/>
      <c r="E83" s="103"/>
      <c r="F83" s="103"/>
      <c r="G83" s="103"/>
      <c r="H83" s="103"/>
      <c r="I83" s="103"/>
      <c r="J83" s="163"/>
      <c r="K83" s="163"/>
    </row>
    <row r="84" spans="1:11">
      <c r="A84" s="103"/>
      <c r="B84" s="163"/>
      <c r="C84" s="103"/>
      <c r="D84" s="103"/>
      <c r="E84" s="103"/>
      <c r="F84" s="103"/>
      <c r="G84" s="103"/>
      <c r="H84" s="103"/>
      <c r="I84" s="103"/>
      <c r="J84" s="163"/>
      <c r="K84" s="163"/>
    </row>
    <row r="85" spans="1:11">
      <c r="A85" s="103"/>
      <c r="B85" s="163"/>
      <c r="C85" s="103"/>
      <c r="D85" s="103"/>
      <c r="E85" s="103"/>
      <c r="I85" s="103"/>
      <c r="J85" s="163"/>
      <c r="K85" s="163"/>
    </row>
    <row r="86" spans="1:11">
      <c r="A86" s="103"/>
      <c r="B86" s="163"/>
      <c r="C86" s="103"/>
      <c r="D86" s="103"/>
    </row>
    <row r="87" spans="1:11">
      <c r="A87" s="103"/>
      <c r="B87" s="163"/>
      <c r="C87" s="103"/>
      <c r="D87" s="103"/>
    </row>
    <row r="88" spans="1:11">
      <c r="A88" s="103"/>
      <c r="B88" s="163"/>
      <c r="C88" s="103"/>
      <c r="D88" s="103"/>
    </row>
    <row r="89" spans="1:11">
      <c r="A89" s="103"/>
      <c r="B89" s="163"/>
      <c r="C89" s="103"/>
      <c r="D89" s="103"/>
    </row>
    <row r="90" spans="1:11">
      <c r="A90" s="103"/>
      <c r="B90" s="163"/>
      <c r="C90" s="103"/>
      <c r="D90" s="103"/>
    </row>
    <row r="91" spans="1:11">
      <c r="A91" s="103"/>
      <c r="B91" s="163"/>
      <c r="C91" s="103"/>
      <c r="D91" s="103"/>
    </row>
    <row r="92" spans="1:11">
      <c r="A92" s="103"/>
      <c r="B92" s="163"/>
      <c r="C92" s="103"/>
      <c r="D92" s="103"/>
    </row>
    <row r="93" spans="1:11">
      <c r="A93" s="103"/>
      <c r="B93" s="163"/>
      <c r="C93" s="103"/>
      <c r="D93" s="103"/>
    </row>
    <row r="94" spans="1:11">
      <c r="A94" s="103"/>
      <c r="B94" s="163"/>
      <c r="C94" s="103"/>
      <c r="D94" s="103"/>
    </row>
    <row r="95" spans="1:11">
      <c r="A95" s="103"/>
      <c r="B95" s="163"/>
      <c r="C95" s="103"/>
      <c r="D95" s="103"/>
    </row>
    <row r="96" spans="1:11">
      <c r="A96" s="103"/>
      <c r="B96" s="163"/>
      <c r="C96" s="103"/>
      <c r="D96" s="103"/>
    </row>
    <row r="97" spans="1:4">
      <c r="A97" s="103"/>
      <c r="B97" s="163"/>
      <c r="C97" s="103"/>
      <c r="D97" s="103"/>
    </row>
    <row r="98" spans="1:4">
      <c r="A98" s="103"/>
      <c r="B98" s="163"/>
      <c r="C98" s="103"/>
      <c r="D98" s="103"/>
    </row>
    <row r="99" spans="1:4">
      <c r="A99" s="103"/>
      <c r="B99" s="163"/>
      <c r="C99" s="103"/>
      <c r="D99" s="103"/>
    </row>
    <row r="100" spans="1:4">
      <c r="A100" s="103"/>
      <c r="B100" s="163"/>
      <c r="C100" s="103"/>
      <c r="D100" s="103"/>
    </row>
    <row r="101" spans="1:4">
      <c r="A101" s="103"/>
      <c r="B101" s="163"/>
      <c r="C101" s="103"/>
      <c r="D101" s="103"/>
    </row>
    <row r="102" spans="1:4">
      <c r="A102" s="103"/>
      <c r="B102" s="163"/>
      <c r="C102" s="103"/>
      <c r="D102" s="103"/>
    </row>
    <row r="103" spans="1:4">
      <c r="A103" s="103"/>
      <c r="B103" s="163"/>
      <c r="C103" s="103"/>
      <c r="D103" s="103"/>
    </row>
    <row r="104" spans="1:4">
      <c r="A104" s="103"/>
      <c r="B104" s="163"/>
      <c r="C104" s="103"/>
      <c r="D104" s="103"/>
    </row>
    <row r="105" spans="1:4">
      <c r="A105" s="103"/>
      <c r="B105" s="163"/>
      <c r="C105" s="103"/>
      <c r="D105" s="103"/>
    </row>
    <row r="106" spans="1:4">
      <c r="A106" s="103"/>
      <c r="B106" s="163"/>
      <c r="C106" s="103"/>
      <c r="D106" s="103"/>
    </row>
    <row r="107" spans="1:4">
      <c r="A107" s="103"/>
      <c r="B107" s="163"/>
      <c r="C107" s="103"/>
      <c r="D107" s="103"/>
    </row>
    <row r="108" spans="1:4">
      <c r="A108" s="103"/>
      <c r="B108" s="163"/>
      <c r="C108" s="103"/>
      <c r="D108" s="103"/>
    </row>
    <row r="109" spans="1:4">
      <c r="A109" s="103"/>
      <c r="B109" s="163"/>
      <c r="C109" s="103"/>
      <c r="D109" s="103"/>
    </row>
    <row r="110" spans="1:4">
      <c r="A110" s="103"/>
      <c r="B110" s="163"/>
      <c r="C110" s="103"/>
      <c r="D110" s="103"/>
    </row>
    <row r="111" spans="1:4">
      <c r="A111" s="103"/>
      <c r="B111" s="163"/>
      <c r="C111" s="103"/>
      <c r="D111" s="103"/>
    </row>
    <row r="112" spans="1:4">
      <c r="A112" s="103"/>
      <c r="B112" s="163"/>
      <c r="C112" s="103"/>
      <c r="D112" s="103"/>
    </row>
    <row r="113" spans="1:4">
      <c r="A113" s="103"/>
      <c r="B113" s="163"/>
      <c r="C113" s="103"/>
      <c r="D113" s="103"/>
    </row>
    <row r="114" spans="1:4">
      <c r="A114" s="103"/>
      <c r="B114" s="163"/>
      <c r="C114" s="103"/>
      <c r="D114" s="103"/>
    </row>
    <row r="115" spans="1:4">
      <c r="A115" s="103"/>
      <c r="B115" s="163"/>
      <c r="C115" s="103"/>
      <c r="D115" s="103"/>
    </row>
    <row r="116" spans="1:4">
      <c r="A116" s="103"/>
      <c r="B116" s="163"/>
      <c r="C116" s="103"/>
      <c r="D116" s="103"/>
    </row>
    <row r="117" spans="1:4">
      <c r="A117" s="103"/>
      <c r="B117" s="163"/>
      <c r="C117" s="103"/>
      <c r="D117" s="103"/>
    </row>
    <row r="118" spans="1:4">
      <c r="A118" s="103"/>
      <c r="B118" s="163"/>
      <c r="C118" s="103"/>
      <c r="D118" s="103"/>
    </row>
    <row r="119" spans="1:4">
      <c r="A119" s="103"/>
      <c r="B119" s="163"/>
      <c r="C119" s="103"/>
      <c r="D119" s="103"/>
    </row>
    <row r="120" spans="1:4">
      <c r="A120" s="103"/>
      <c r="B120" s="163"/>
      <c r="C120" s="103"/>
      <c r="D120" s="103"/>
    </row>
    <row r="121" spans="1:4">
      <c r="A121" s="103"/>
      <c r="B121" s="163"/>
      <c r="C121" s="103"/>
      <c r="D121" s="103"/>
    </row>
  </sheetData>
  <autoFilter ref="A1:C1" xr:uid="{68A09719-08B3-42DE-8458-2A2F6385CEEE}"/>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T40"/>
  <sheetViews>
    <sheetView showGridLines="0" zoomScale="85" zoomScaleNormal="85" workbookViewId="0">
      <pane xSplit="1" ySplit="1" topLeftCell="D2" activePane="bottomRight" state="frozen"/>
      <selection pane="topRight" activeCell="B1" sqref="B1"/>
      <selection pane="bottomLeft" activeCell="A2" sqref="A2"/>
      <selection pane="bottomRight" activeCell="K1" sqref="K1"/>
    </sheetView>
  </sheetViews>
  <sheetFormatPr defaultColWidth="9.109375" defaultRowHeight="14.4"/>
  <cols>
    <col min="1" max="1" width="9.6640625" style="104" customWidth="1"/>
    <col min="2" max="2" width="20.6640625" style="104" customWidth="1"/>
    <col min="3" max="3" width="20.6640625" style="164" customWidth="1"/>
    <col min="4" max="4" width="19.88671875" style="164" customWidth="1"/>
    <col min="5" max="7" width="20.6640625" style="104" customWidth="1"/>
    <col min="8" max="9" width="28.6640625" style="104" customWidth="1"/>
    <col min="10" max="10" width="33" style="104" customWidth="1"/>
    <col min="11" max="11" width="33.44140625" style="104" customWidth="1"/>
    <col min="12" max="12" width="29.6640625" style="104" customWidth="1"/>
    <col min="13" max="13" width="12.109375" style="104" customWidth="1"/>
    <col min="14" max="14" width="17" style="104" customWidth="1"/>
    <col min="15" max="15" width="14.33203125" style="104" hidden="1" customWidth="1"/>
    <col min="16" max="16" width="15" style="245" bestFit="1" customWidth="1"/>
    <col min="17" max="17" width="9" customWidth="1"/>
    <col min="18" max="18" width="19.5546875" style="104" customWidth="1"/>
    <col min="19" max="19" width="17" style="104" hidden="1" customWidth="1"/>
    <col min="20" max="20" width="13.6640625" style="104" customWidth="1"/>
    <col min="21" max="21" width="4.44140625" style="104" customWidth="1"/>
    <col min="22" max="16384" width="9.109375" style="104"/>
  </cols>
  <sheetData>
    <row r="1" spans="1:20" ht="63">
      <c r="A1" s="98" t="s">
        <v>43</v>
      </c>
      <c r="B1" s="102" t="s">
        <v>54</v>
      </c>
      <c r="C1" s="203" t="s">
        <v>55</v>
      </c>
      <c r="D1" s="151" t="s">
        <v>56</v>
      </c>
      <c r="E1" s="133" t="s">
        <v>57</v>
      </c>
      <c r="F1" s="152" t="s">
        <v>58</v>
      </c>
      <c r="G1" s="239" t="s">
        <v>59</v>
      </c>
      <c r="H1" s="240" t="s">
        <v>60</v>
      </c>
      <c r="I1" s="239" t="s">
        <v>61</v>
      </c>
      <c r="J1" s="241" t="s">
        <v>62</v>
      </c>
      <c r="K1" s="241" t="s">
        <v>63</v>
      </c>
      <c r="L1" s="241" t="s">
        <v>64</v>
      </c>
      <c r="N1" s="258" t="s">
        <v>65</v>
      </c>
      <c r="O1" s="259" t="s">
        <v>66</v>
      </c>
      <c r="P1" s="258" t="s">
        <v>67</v>
      </c>
      <c r="R1" s="258" t="s">
        <v>68</v>
      </c>
      <c r="S1" s="258" t="s">
        <v>69</v>
      </c>
      <c r="T1" s="258" t="s">
        <v>70</v>
      </c>
    </row>
    <row r="2" spans="1:20" ht="20.25" customHeight="1">
      <c r="A2" s="105">
        <v>1</v>
      </c>
      <c r="B2" s="233">
        <f t="shared" ref="B2:B22" si="0">(SUM(C2,E2))</f>
        <v>6</v>
      </c>
      <c r="C2" s="233" cm="1">
        <f t="array" ref="C2">_xlfn.IFS(D2&lt;=O$2,P$2,D2&lt;=O$3,P$3,D2&lt;=O$4,P$4,D2&gt;O$5,P$5)</f>
        <v>1</v>
      </c>
      <c r="D2" s="99">
        <v>8</v>
      </c>
      <c r="E2" s="233" cm="1">
        <f t="array" ref="E2">_xlfn.IFS(Gestao[[#This Row],[Desvio do planejamento dos PDCs prioritáros (Planej. - Indic.)
(%)]]&lt;=$S$2,$T$2,Gestao[[#This Row],[Desvio do planejamento dos PDCs prioritáros (Planej. - Indic.)
(%)]]&gt;$S$3,$T$3)</f>
        <v>5</v>
      </c>
      <c r="F2" s="234">
        <f>Gestao[[#This Row],[Planejamento (%)]]-Gestao[[#This Row],[Indicações  (%)]]</f>
        <v>0.17010684240622653</v>
      </c>
      <c r="G2" s="232">
        <f>SUMIFS(PAPI!D:D,PAPI!A:A,Gestao[[#This Row],[UGRHI]])</f>
        <v>649000</v>
      </c>
      <c r="H2" s="232">
        <f>SUMIFS(PAPI!D:D,PAPI!A:A,Gestao[[#This Row],[UGRHI]],PAPI!C:C,"Prioritário")</f>
        <v>449000</v>
      </c>
      <c r="I2" s="250">
        <f>Gestao[[#This Row],[Planejamento PA/PI 2020  nos PDCs prioritários
(R$)]]/Gestao[[#This Row],[Planejamento PA/PI 2020 - (R$) ]]</f>
        <v>0.69183359013867485</v>
      </c>
      <c r="J2" s="188">
        <f>SUMIFS('empreend 2019_2020'!F:F,'empreend 2019_2020'!K:K,"Prioritário",'empreend 2019_2020'!A:A,Gestao[[#This Row],[UGRHI]],'empreend 2019_2020'!B:B,2020)</f>
        <v>453155.08999999997</v>
      </c>
      <c r="K2" s="232">
        <f>SUMIF('Info- DOF - cfurh_cob - '!$J$113:$J$133,Gestao[[#This Row],[UGRHI]],'Info- DOF - cfurh_cob - '!$K$113:$K$133)</f>
        <v>868567.87</v>
      </c>
      <c r="L2" s="231">
        <f>Gestao[[#This Row],[Indicações 2020
  nos PDC prioritários (R$)
]]/Gestao[[#This Row],[Total disponivel (CFURH+ Cob) nos Planos de aplicação - 2020 (R$)]]</f>
        <v>0.52172674773244831</v>
      </c>
      <c r="N2" s="271" t="s">
        <v>71</v>
      </c>
      <c r="O2" s="272">
        <v>7</v>
      </c>
      <c r="P2" s="271">
        <v>0</v>
      </c>
      <c r="R2" s="243" t="s">
        <v>72</v>
      </c>
      <c r="S2" s="251">
        <v>0.2</v>
      </c>
      <c r="T2" s="243">
        <v>5</v>
      </c>
    </row>
    <row r="3" spans="1:20" ht="20.25" customHeight="1">
      <c r="A3" s="105">
        <v>2</v>
      </c>
      <c r="B3" s="233">
        <f t="shared" si="0"/>
        <v>3</v>
      </c>
      <c r="C3" s="233" cm="1">
        <f t="array" ref="C3">_xlfn.IFS(D3&lt;=O$2,P$2,D3&lt;=O$3,P$3,D3&lt;=O$4,P$4,D3&gt;O$5,P$5)</f>
        <v>3</v>
      </c>
      <c r="D3" s="99">
        <v>8.4</v>
      </c>
      <c r="E3" s="233" cm="1">
        <f t="array" ref="E3">_xlfn.IFS(Gestao[[#This Row],[Desvio do planejamento dos PDCs prioritáros (Planej. - Indic.)
(%)]]&lt;=$S$2,$T$2,Gestao[[#This Row],[Desvio do planejamento dos PDCs prioritáros (Planej. - Indic.)
(%)]]&gt;$S$3,$T$3)</f>
        <v>0</v>
      </c>
      <c r="F3" s="234">
        <f>Gestao[[#This Row],[Planejamento (%)]]-Gestao[[#This Row],[Indicações  (%)]]</f>
        <v>0.81469444391731116</v>
      </c>
      <c r="G3" s="232">
        <f>SUMIFS(PAPI!D:D,PAPI!A:A,Gestao[[#This Row],[UGRHI]])</f>
        <v>60884565.239999995</v>
      </c>
      <c r="H3" s="232">
        <f>SUMIFS(PAPI!D:D,PAPI!A:A,Gestao[[#This Row],[UGRHI]],PAPI!C:C,"Prioritário")</f>
        <v>52888234.499999993</v>
      </c>
      <c r="I3" s="207">
        <f>Gestao[[#This Row],[Planejamento PA/PI 2020  nos PDCs prioritários
(R$)]]/Gestao[[#This Row],[Planejamento PA/PI 2020 - (R$) ]]</f>
        <v>0.86866407424477154</v>
      </c>
      <c r="J3" s="188">
        <f>SUMIFS('empreend 2019_2020'!F:F,'empreend 2019_2020'!K:K,"Prioritário",'empreend 2019_2020'!A:A,Gestao[[#This Row],[UGRHI]],'empreend 2019_2020'!B:B,2020)</f>
        <v>3722177.01</v>
      </c>
      <c r="K3" s="232">
        <f>SUMIF('Info- DOF - cfurh_cob - '!$J$113:$J$133,Gestao[[#This Row],[UGRHI]],'Info- DOF - cfurh_cob - '!$K$113:$K$133)</f>
        <v>68967991.579999998</v>
      </c>
      <c r="L3" s="231">
        <f>Gestao[[#This Row],[Indicações 2020
  nos PDC prioritários (R$)
]]/Gestao[[#This Row],[Total disponivel (CFURH+ Cob) nos Planos de aplicação - 2020 (R$)]]</f>
        <v>5.3969630327460376E-2</v>
      </c>
      <c r="N3" s="271" t="s">
        <v>73</v>
      </c>
      <c r="O3" s="272">
        <v>8</v>
      </c>
      <c r="P3" s="271">
        <v>1</v>
      </c>
      <c r="R3" s="243" t="s">
        <v>74</v>
      </c>
      <c r="S3" s="251">
        <v>0.2</v>
      </c>
      <c r="T3" s="243">
        <v>0</v>
      </c>
    </row>
    <row r="4" spans="1:20" ht="20.25" customHeight="1">
      <c r="A4" s="105">
        <v>3</v>
      </c>
      <c r="B4" s="233">
        <f t="shared" si="0"/>
        <v>10</v>
      </c>
      <c r="C4" s="233" cm="1">
        <f t="array" ref="C4">_xlfn.IFS(D4&lt;=O$2,P$2,D4&lt;=O$3,P$3,D4&lt;=O$4,P$4,D4&gt;O$5,P$5)</f>
        <v>5</v>
      </c>
      <c r="D4" s="99">
        <v>9.8000000000000007</v>
      </c>
      <c r="E4" s="233" cm="1">
        <f t="array" ref="E4">_xlfn.IFS(Gestao[[#This Row],[Desvio do planejamento dos PDCs prioritáros (Planej. - Indic.)
(%)]]&lt;=$S$2,$T$2,Gestao[[#This Row],[Desvio do planejamento dos PDCs prioritáros (Planej. - Indic.)
(%)]]&gt;$S$3,$T$3)</f>
        <v>5</v>
      </c>
      <c r="F4" s="234">
        <f>Gestao[[#This Row],[Planejamento (%)]]-Gestao[[#This Row],[Indicações  (%)]]</f>
        <v>-0.26192327974835206</v>
      </c>
      <c r="G4" s="232">
        <f>SUMIFS(PAPI!D:D,PAPI!A:A,Gestao[[#This Row],[UGRHI]])</f>
        <v>996644.21</v>
      </c>
      <c r="H4" s="232">
        <f>SUMIFS(PAPI!D:D,PAPI!A:A,Gestao[[#This Row],[UGRHI]],PAPI!C:C,"Prioritário")</f>
        <v>846644.21</v>
      </c>
      <c r="I4" s="207">
        <f>Gestao[[#This Row],[Planejamento PA/PI 2020  nos PDCs prioritários
(R$)]]/Gestao[[#This Row],[Planejamento PA/PI 2020 - (R$) ]]</f>
        <v>0.84949493661333764</v>
      </c>
      <c r="J4" s="188">
        <f>SUMIFS('empreend 2019_2020'!F:F,'empreend 2019_2020'!K:K,"Prioritário",'empreend 2019_2020'!A:A,Gestao[[#This Row],[UGRHI]],'empreend 2019_2020'!B:B,2020)</f>
        <v>846644.21</v>
      </c>
      <c r="K4" s="232">
        <f>SUMIF('Info- DOF - cfurh_cob - '!$J$113:$J$133,Gestao[[#This Row],[UGRHI]],'Info- DOF - cfurh_cob - '!$K$113:$K$133)</f>
        <v>761769.24</v>
      </c>
      <c r="L4" s="231">
        <f>Gestao[[#This Row],[Indicações 2020
  nos PDC prioritários (R$)
]]/Gestao[[#This Row],[Total disponivel (CFURH+ Cob) nos Planos de aplicação - 2020 (R$)]]</f>
        <v>1.1114182163616897</v>
      </c>
      <c r="N4" s="271" t="s">
        <v>75</v>
      </c>
      <c r="O4" s="272">
        <v>9</v>
      </c>
      <c r="P4" s="271">
        <v>3</v>
      </c>
    </row>
    <row r="5" spans="1:20" ht="20.25" customHeight="1">
      <c r="A5" s="105">
        <v>4</v>
      </c>
      <c r="B5" s="233">
        <f t="shared" si="0"/>
        <v>10</v>
      </c>
      <c r="C5" s="233" cm="1">
        <f t="array" ref="C5">_xlfn.IFS(D5&lt;=O$2,P$2,D5&lt;=O$3,P$3,D5&lt;=O$4,P$4,D5&gt;O$5,P$5)</f>
        <v>5</v>
      </c>
      <c r="D5" s="99">
        <v>9.8000000000000007</v>
      </c>
      <c r="E5" s="233" cm="1">
        <f t="array" ref="E5">_xlfn.IFS(Gestao[[#This Row],[Desvio do planejamento dos PDCs prioritáros (Planej. - Indic.)
(%)]]&lt;=$S$2,$T$2,Gestao[[#This Row],[Desvio do planejamento dos PDCs prioritáros (Planej. - Indic.)
(%)]]&gt;$S$3,$T$3)</f>
        <v>5</v>
      </c>
      <c r="F5" s="234">
        <f>Gestao[[#This Row],[Planejamento (%)]]-Gestao[[#This Row],[Indicações  (%)]]</f>
        <v>-0.11785583505980657</v>
      </c>
      <c r="G5" s="232">
        <f>SUMIFS(PAPI!D:D,PAPI!A:A,Gestao[[#This Row],[UGRHI]])</f>
        <v>5623975</v>
      </c>
      <c r="H5" s="232">
        <f>SUMIFS(PAPI!D:D,PAPI!A:A,Gestao[[#This Row],[UGRHI]],PAPI!C:C,"Prioritário")</f>
        <v>4430522.5199999996</v>
      </c>
      <c r="I5" s="207">
        <f>Gestao[[#This Row],[Planejamento PA/PI 2020  nos PDCs prioritários
(R$)]]/Gestao[[#This Row],[Planejamento PA/PI 2020 - (R$) ]]</f>
        <v>0.78779200120910908</v>
      </c>
      <c r="J5" s="188">
        <f>SUMIFS('empreend 2019_2020'!F:F,'empreend 2019_2020'!K:K,"Prioritário",'empreend 2019_2020'!A:A,Gestao[[#This Row],[UGRHI]],'empreend 2019_2020'!B:B,2020)</f>
        <v>4918376.040000001</v>
      </c>
      <c r="K5" s="232">
        <f>SUMIF('Info- DOF - cfurh_cob - '!$J$113:$J$133,Gestao[[#This Row],[UGRHI]],'Info- DOF - cfurh_cob - '!$K$113:$K$133)</f>
        <v>5430782.0800000001</v>
      </c>
      <c r="L5" s="231">
        <f>Gestao[[#This Row],[Indicações 2020
  nos PDC prioritários (R$)
]]/Gestao[[#This Row],[Total disponivel (CFURH+ Cob) nos Planos de aplicação - 2020 (R$)]]</f>
        <v>0.90564783626891565</v>
      </c>
      <c r="N5" s="271" t="s">
        <v>76</v>
      </c>
      <c r="O5" s="272">
        <v>9</v>
      </c>
      <c r="P5" s="271">
        <v>5</v>
      </c>
    </row>
    <row r="6" spans="1:20" ht="20.25" customHeight="1">
      <c r="A6" s="105">
        <v>5</v>
      </c>
      <c r="B6" s="233">
        <f t="shared" si="0"/>
        <v>8</v>
      </c>
      <c r="C6" s="233" cm="1">
        <f t="array" ref="C6">_xlfn.IFS(D6&lt;=O$2,P$2,D6&lt;=O$3,P$3,D6&lt;=O$4,P$4,D6&gt;O$5,P$5)</f>
        <v>3</v>
      </c>
      <c r="D6" s="99">
        <v>8.4</v>
      </c>
      <c r="E6" s="233" cm="1">
        <f t="array" ref="E6">_xlfn.IFS(Gestao[[#This Row],[Desvio do planejamento dos PDCs prioritáros (Planej. - Indic.)
(%)]]&lt;=$S$2,$T$2,Gestao[[#This Row],[Desvio do planejamento dos PDCs prioritáros (Planej. - Indic.)
(%)]]&gt;$S$3,$T$3)</f>
        <v>5</v>
      </c>
      <c r="F6" s="234">
        <f>Gestao[[#This Row],[Planejamento (%)]]-Gestao[[#This Row],[Indicações  (%)]]</f>
        <v>6.879803883044211E-4</v>
      </c>
      <c r="G6" s="232">
        <f>SUMIFS(PAPI!D:D,PAPI!A:A,Gestao[[#This Row],[UGRHI]])</f>
        <v>29050596.109999999</v>
      </c>
      <c r="H6" s="232">
        <f>SUMIFS(PAPI!D:D,PAPI!A:A,Gestao[[#This Row],[UGRHI]],PAPI!C:C,"Prioritário")</f>
        <v>29050596.109999999</v>
      </c>
      <c r="I6" s="207">
        <f>Gestao[[#This Row],[Planejamento PA/PI 2020  nos PDCs prioritários
(R$)]]/Gestao[[#This Row],[Planejamento PA/PI 2020 - (R$) ]]</f>
        <v>1</v>
      </c>
      <c r="J6" s="188">
        <f>SUMIFS('empreend 2019_2020'!F:F,'empreend 2019_2020'!K:K,"Prioritário",'empreend 2019_2020'!A:A,Gestao[[#This Row],[UGRHI]],'empreend 2019_2020'!B:B,2020)</f>
        <v>29050596.109999999</v>
      </c>
      <c r="K6" s="232">
        <f>SUMIF('Info- DOF - cfurh_cob - '!$J$113:$J$133,Gestao[[#This Row],[UGRHI]],'Info- DOF - cfurh_cob - '!$K$113:$K$133)</f>
        <v>29070596.109999999</v>
      </c>
      <c r="L6" s="231">
        <f>Gestao[[#This Row],[Indicações 2020
  nos PDC prioritários (R$)
]]/Gestao[[#This Row],[Total disponivel (CFURH+ Cob) nos Planos de aplicação - 2020 (R$)]]</f>
        <v>0.99931201961169558</v>
      </c>
      <c r="P6" s="104"/>
      <c r="R6" s="181"/>
    </row>
    <row r="7" spans="1:20" ht="20.25" customHeight="1">
      <c r="A7" s="105">
        <v>6</v>
      </c>
      <c r="B7" s="233">
        <f t="shared" si="0"/>
        <v>10</v>
      </c>
      <c r="C7" s="233" cm="1">
        <f t="array" ref="C7">_xlfn.IFS(D7&lt;=O$2,P$2,D7&lt;=O$3,P$3,D7&lt;=O$4,P$4,D7&gt;O$5,P$5)</f>
        <v>5</v>
      </c>
      <c r="D7" s="99">
        <v>9.5</v>
      </c>
      <c r="E7" s="233" cm="1">
        <f t="array" ref="E7">_xlfn.IFS(Gestao[[#This Row],[Desvio do planejamento dos PDCs prioritáros (Planej. - Indic.)
(%)]]&lt;=$S$2,$T$2,Gestao[[#This Row],[Desvio do planejamento dos PDCs prioritáros (Planej. - Indic.)
(%)]]&gt;$S$3,$T$3)</f>
        <v>5</v>
      </c>
      <c r="F7" s="234">
        <f>Gestao[[#This Row],[Planejamento (%)]]-Gestao[[#This Row],[Indicações  (%)]]</f>
        <v>8.6154416224104136E-2</v>
      </c>
      <c r="G7" s="232">
        <f>SUMIFS(PAPI!D:D,PAPI!A:A,Gestao[[#This Row],[UGRHI]])</f>
        <v>152250000</v>
      </c>
      <c r="H7" s="232">
        <f>SUMIFS(PAPI!D:D,PAPI!A:A,Gestao[[#This Row],[UGRHI]],PAPI!C:C,"Prioritário")</f>
        <v>105850000</v>
      </c>
      <c r="I7" s="207">
        <f>Gestao[[#This Row],[Planejamento PA/PI 2020  nos PDCs prioritários
(R$)]]/Gestao[[#This Row],[Planejamento PA/PI 2020 - (R$) ]]</f>
        <v>0.69523809523809521</v>
      </c>
      <c r="J7" s="188">
        <f>SUMIFS('empreend 2019_2020'!F:F,'empreend 2019_2020'!K:K,"Prioritário",'empreend 2019_2020'!A:A,Gestao[[#This Row],[UGRHI]],'empreend 2019_2020'!B:B,2020)</f>
        <v>85391803.870000035</v>
      </c>
      <c r="K7" s="232">
        <f>SUMIF('Info- DOF - cfurh_cob - '!$J$113:$J$133,Gestao[[#This Row],[UGRHI]],'Info- DOF - cfurh_cob - '!$K$113:$K$133)</f>
        <v>140197163.06999999</v>
      </c>
      <c r="L7" s="231">
        <f>Gestao[[#This Row],[Indicações 2020
  nos PDC prioritários (R$)
]]/Gestao[[#This Row],[Total disponivel (CFURH+ Cob) nos Planos de aplicação - 2020 (R$)]]</f>
        <v>0.60908367901399108</v>
      </c>
      <c r="P7" s="104"/>
      <c r="R7" s="181"/>
    </row>
    <row r="8" spans="1:20" ht="20.25" customHeight="1">
      <c r="A8" s="105">
        <v>7</v>
      </c>
      <c r="B8" s="233">
        <f t="shared" si="0"/>
        <v>5</v>
      </c>
      <c r="C8" s="233" cm="1">
        <f t="array" ref="C8">_xlfn.IFS(D8&lt;=O$2,P$2,D8&lt;=O$3,P$3,D8&lt;=O$4,P$4,D8&gt;O$5,P$5)</f>
        <v>5</v>
      </c>
      <c r="D8" s="99">
        <v>9.6999999999999993</v>
      </c>
      <c r="E8" s="233" cm="1">
        <f t="array" ref="E8">_xlfn.IFS(Gestao[[#This Row],[Desvio do planejamento dos PDCs prioritáros (Planej. - Indic.)
(%)]]&lt;=$S$2,$T$2,Gestao[[#This Row],[Desvio do planejamento dos PDCs prioritáros (Planej. - Indic.)
(%)]]&gt;$S$3,$T$3)</f>
        <v>0</v>
      </c>
      <c r="F8" s="234">
        <f>Gestao[[#This Row],[Planejamento (%)]]-Gestao[[#This Row],[Indicações  (%)]]</f>
        <v>0.24971418018752006</v>
      </c>
      <c r="G8" s="232">
        <f>SUMIFS(PAPI!D:D,PAPI!A:A,Gestao[[#This Row],[UGRHI]])</f>
        <v>11900000</v>
      </c>
      <c r="H8" s="232">
        <f>SUMIFS(PAPI!D:D,PAPI!A:A,Gestao[[#This Row],[UGRHI]],PAPI!C:C,"Prioritário")</f>
        <v>7150000</v>
      </c>
      <c r="I8" s="207">
        <f>Gestao[[#This Row],[Planejamento PA/PI 2020  nos PDCs prioritários
(R$)]]/Gestao[[#This Row],[Planejamento PA/PI 2020 - (R$) ]]</f>
        <v>0.60084033613445376</v>
      </c>
      <c r="J8" s="188">
        <f>SUMIFS('empreend 2019_2020'!F:F,'empreend 2019_2020'!K:K,"Prioritário",'empreend 2019_2020'!A:A,Gestao[[#This Row],[UGRHI]],'empreend 2019_2020'!B:B,2020)</f>
        <v>4948089.3999999994</v>
      </c>
      <c r="K8" s="232">
        <f>SUMIF('Info- DOF - cfurh_cob - '!$J$113:$J$133,Gestao[[#This Row],[UGRHI]],'Info- DOF - cfurh_cob - '!$K$113:$K$133)</f>
        <v>14092055.85</v>
      </c>
      <c r="L8" s="231">
        <f>Gestao[[#This Row],[Indicações 2020
  nos PDC prioritários (R$)
]]/Gestao[[#This Row],[Total disponivel (CFURH+ Cob) nos Planos de aplicação - 2020 (R$)]]</f>
        <v>0.35112615594693369</v>
      </c>
      <c r="P8" s="104"/>
      <c r="R8" s="181"/>
    </row>
    <row r="9" spans="1:20" ht="20.25" customHeight="1">
      <c r="A9" s="105">
        <v>8</v>
      </c>
      <c r="B9" s="233">
        <f t="shared" si="0"/>
        <v>10</v>
      </c>
      <c r="C9" s="233" cm="1">
        <f t="array" ref="C9">_xlfn.IFS(D9&lt;=O$2,P$2,D9&lt;=O$3,P$3,D9&lt;=O$4,P$4,D9&gt;O$5,P$5)</f>
        <v>5</v>
      </c>
      <c r="D9" s="99">
        <v>9.8000000000000007</v>
      </c>
      <c r="E9" s="233" cm="1">
        <f t="array" ref="E9">_xlfn.IFS(Gestao[[#This Row],[Desvio do planejamento dos PDCs prioritáros (Planej. - Indic.)
(%)]]&lt;=$S$2,$T$2,Gestao[[#This Row],[Desvio do planejamento dos PDCs prioritáros (Planej. - Indic.)
(%)]]&gt;$S$3,$T$3)</f>
        <v>5</v>
      </c>
      <c r="F9" s="234">
        <f>Gestao[[#This Row],[Planejamento (%)]]-Gestao[[#This Row],[Indicações  (%)]]</f>
        <v>-2.9272248870414685E-2</v>
      </c>
      <c r="G9" s="232">
        <f>SUMIFS(PAPI!D:D,PAPI!A:A,Gestao[[#This Row],[UGRHI]])</f>
        <v>2650000</v>
      </c>
      <c r="H9" s="232">
        <f>SUMIFS(PAPI!D:D,PAPI!A:A,Gestao[[#This Row],[UGRHI]],PAPI!C:C,"Prioritário")</f>
        <v>1400000</v>
      </c>
      <c r="I9" s="207">
        <f>Gestao[[#This Row],[Planejamento PA/PI 2020  nos PDCs prioritários
(R$)]]/Gestao[[#This Row],[Planejamento PA/PI 2020 - (R$) ]]</f>
        <v>0.52830188679245282</v>
      </c>
      <c r="J9" s="188">
        <f>SUMIFS('empreend 2019_2020'!F:F,'empreend 2019_2020'!K:K,"Prioritário",'empreend 2019_2020'!A:A,Gestao[[#This Row],[UGRHI]],'empreend 2019_2020'!B:B,2020)</f>
        <v>1419335.01</v>
      </c>
      <c r="K9" s="232">
        <f>SUMIF('Info- DOF - cfurh_cob - '!$J$113:$J$133,Gestao[[#This Row],[UGRHI]],'Info- DOF - cfurh_cob - '!$K$113:$K$133)</f>
        <v>2545553.8899999997</v>
      </c>
      <c r="L9" s="231">
        <f>Gestao[[#This Row],[Indicações 2020
  nos PDC prioritários (R$)
]]/Gestao[[#This Row],[Total disponivel (CFURH+ Cob) nos Planos de aplicação - 2020 (R$)]]</f>
        <v>0.55757413566286751</v>
      </c>
      <c r="P9" s="104"/>
      <c r="R9" s="181"/>
    </row>
    <row r="10" spans="1:20" ht="20.25" customHeight="1">
      <c r="A10" s="105">
        <v>9</v>
      </c>
      <c r="B10" s="233">
        <f t="shared" si="0"/>
        <v>10</v>
      </c>
      <c r="C10" s="233" cm="1">
        <f t="array" ref="C10">_xlfn.IFS(D10&lt;=O$2,P$2,D10&lt;=O$3,P$3,D10&lt;=O$4,P$4,D10&gt;O$5,P$5)</f>
        <v>5</v>
      </c>
      <c r="D10" s="99">
        <v>10</v>
      </c>
      <c r="E10" s="233" cm="1">
        <f t="array" ref="E10">_xlfn.IFS(Gestao[[#This Row],[Desvio do planejamento dos PDCs prioritáros (Planej. - Indic.)
(%)]]&lt;=$S$2,$T$2,Gestao[[#This Row],[Desvio do planejamento dos PDCs prioritáros (Planej. - Indic.)
(%)]]&gt;$S$3,$T$3)</f>
        <v>5</v>
      </c>
      <c r="F10" s="234">
        <f>Gestao[[#This Row],[Planejamento (%)]]-Gestao[[#This Row],[Indicações  (%)]]</f>
        <v>0.17876348346536053</v>
      </c>
      <c r="G10" s="232">
        <f>SUMIFS(PAPI!D:D,PAPI!A:A,Gestao[[#This Row],[UGRHI]])</f>
        <v>8767803</v>
      </c>
      <c r="H10" s="232">
        <f>SUMIFS(PAPI!D:D,PAPI!A:A,Gestao[[#This Row],[UGRHI]],PAPI!C:C,"Prioritário")</f>
        <v>6284760</v>
      </c>
      <c r="I10" s="207">
        <f>Gestao[[#This Row],[Planejamento PA/PI 2020  nos PDCs prioritários
(R$)]]/Gestao[[#This Row],[Planejamento PA/PI 2020 - (R$) ]]</f>
        <v>0.71679986423052622</v>
      </c>
      <c r="J10" s="188">
        <f>SUMIFS('empreend 2019_2020'!F:F,'empreend 2019_2020'!K:K,"Prioritário",'empreend 2019_2020'!A:A,Gestao[[#This Row],[UGRHI]],'empreend 2019_2020'!B:B,2020)</f>
        <v>3925784.33</v>
      </c>
      <c r="K10" s="232">
        <f>SUMIF('Info- DOF - cfurh_cob - '!$J$113:$J$133,Gestao[[#This Row],[UGRHI]],'Info- DOF - cfurh_cob - '!$K$113:$K$133)</f>
        <v>7296503.4900000002</v>
      </c>
      <c r="L10" s="231">
        <f>Gestao[[#This Row],[Indicações 2020
  nos PDC prioritários (R$)
]]/Gestao[[#This Row],[Total disponivel (CFURH+ Cob) nos Planos de aplicação - 2020 (R$)]]</f>
        <v>0.53803638076516569</v>
      </c>
      <c r="P10" s="104"/>
      <c r="R10" s="181"/>
    </row>
    <row r="11" spans="1:20" ht="20.25" customHeight="1">
      <c r="A11" s="105">
        <v>10</v>
      </c>
      <c r="B11" s="233">
        <f t="shared" si="0"/>
        <v>10</v>
      </c>
      <c r="C11" s="233" cm="1">
        <f t="array" ref="C11">_xlfn.IFS(D11&lt;=O$2,P$2,D11&lt;=O$3,P$3,D11&lt;=O$4,P$4,D11&gt;O$5,P$5)</f>
        <v>5</v>
      </c>
      <c r="D11" s="99">
        <v>9.1999999999999993</v>
      </c>
      <c r="E11" s="233" cm="1">
        <f t="array" ref="E11">_xlfn.IFS(Gestao[[#This Row],[Desvio do planejamento dos PDCs prioritáros (Planej. - Indic.)
(%)]]&lt;=$S$2,$T$2,Gestao[[#This Row],[Desvio do planejamento dos PDCs prioritáros (Planej. - Indic.)
(%)]]&gt;$S$3,$T$3)</f>
        <v>5</v>
      </c>
      <c r="F11" s="234">
        <f>Gestao[[#This Row],[Planejamento (%)]]-Gestao[[#This Row],[Indicações  (%)]]</f>
        <v>2.4920413402475639E-2</v>
      </c>
      <c r="G11" s="232">
        <f>SUMIFS(PAPI!D:D,PAPI!A:A,Gestao[[#This Row],[UGRHI]])</f>
        <v>20780000</v>
      </c>
      <c r="H11" s="232">
        <f>SUMIFS(PAPI!D:D,PAPI!A:A,Gestao[[#This Row],[UGRHI]],PAPI!C:C,"Prioritário")</f>
        <v>17000000</v>
      </c>
      <c r="I11" s="207">
        <f>Gestao[[#This Row],[Planejamento PA/PI 2020  nos PDCs prioritários
(R$)]]/Gestao[[#This Row],[Planejamento PA/PI 2020 - (R$) ]]</f>
        <v>0.81809432146294514</v>
      </c>
      <c r="J11" s="188">
        <f>SUMIFS('empreend 2019_2020'!F:F,'empreend 2019_2020'!K:K,"Prioritário",'empreend 2019_2020'!A:A,Gestao[[#This Row],[UGRHI]],'empreend 2019_2020'!B:B,2020)</f>
        <v>17019896.34</v>
      </c>
      <c r="K11" s="232">
        <f>SUMIF('Info- DOF - cfurh_cob - '!$J$113:$J$133,Gestao[[#This Row],[UGRHI]],'Info- DOF - cfurh_cob - '!$K$113:$K$133)</f>
        <v>21457962.960000001</v>
      </c>
      <c r="L11" s="231">
        <f>Gestao[[#This Row],[Indicações 2020
  nos PDC prioritários (R$)
]]/Gestao[[#This Row],[Total disponivel (CFURH+ Cob) nos Planos de aplicação - 2020 (R$)]]</f>
        <v>0.7931739080604695</v>
      </c>
      <c r="P11" s="104"/>
    </row>
    <row r="12" spans="1:20" ht="20.25" customHeight="1">
      <c r="A12" s="105">
        <v>11</v>
      </c>
      <c r="B12" s="233">
        <f t="shared" si="0"/>
        <v>10</v>
      </c>
      <c r="C12" s="233" cm="1">
        <f t="array" ref="C12">_xlfn.IFS(D12&lt;=O$2,P$2,D12&lt;=O$3,P$3,D12&lt;=O$4,P$4,D12&gt;O$5,P$5)</f>
        <v>5</v>
      </c>
      <c r="D12" s="99">
        <v>9.3000000000000007</v>
      </c>
      <c r="E12" s="233" cm="1">
        <f t="array" ref="E12">_xlfn.IFS(Gestao[[#This Row],[Desvio do planejamento dos PDCs prioritáros (Planej. - Indic.)
(%)]]&lt;=$S$2,$T$2,Gestao[[#This Row],[Desvio do planejamento dos PDCs prioritáros (Planej. - Indic.)
(%)]]&gt;$S$3,$T$3)</f>
        <v>5</v>
      </c>
      <c r="F12" s="234">
        <f>Gestao[[#This Row],[Planejamento (%)]]-Gestao[[#This Row],[Indicações  (%)]]</f>
        <v>1.5853782867384258E-2</v>
      </c>
      <c r="G12" s="232">
        <f>SUMIFS(PAPI!D:D,PAPI!A:A,Gestao[[#This Row],[UGRHI]])</f>
        <v>7260800</v>
      </c>
      <c r="H12" s="232">
        <f>SUMIFS(PAPI!D:D,PAPI!A:A,Gestao[[#This Row],[UGRHI]],PAPI!C:C,"Prioritário")</f>
        <v>5724400</v>
      </c>
      <c r="I12" s="207">
        <f>Gestao[[#This Row],[Planejamento PA/PI 2020  nos PDCs prioritários
(R$)]]/Gestao[[#This Row],[Planejamento PA/PI 2020 - (R$) ]]</f>
        <v>0.7883979726751873</v>
      </c>
      <c r="J12" s="188">
        <f>SUMIFS('empreend 2019_2020'!F:F,'empreend 2019_2020'!K:K,"Prioritário",'empreend 2019_2020'!A:A,Gestao[[#This Row],[UGRHI]],'empreend 2019_2020'!B:B,2020)</f>
        <v>5643635.5499999998</v>
      </c>
      <c r="K12" s="232">
        <f>SUMIF('Info- DOF - cfurh_cob - '!$J$113:$J$133,Gestao[[#This Row],[UGRHI]],'Info- DOF - cfurh_cob - '!$K$113:$K$133)</f>
        <v>7305259.2000000002</v>
      </c>
      <c r="L12" s="231">
        <f>Gestao[[#This Row],[Indicações 2020
  nos PDC prioritários (R$)
]]/Gestao[[#This Row],[Total disponivel (CFURH+ Cob) nos Planos de aplicação - 2020 (R$)]]</f>
        <v>0.77254418980780304</v>
      </c>
      <c r="P12" s="104"/>
    </row>
    <row r="13" spans="1:20" ht="20.25" customHeight="1">
      <c r="A13" s="105">
        <v>12</v>
      </c>
      <c r="B13" s="233">
        <f t="shared" si="0"/>
        <v>6</v>
      </c>
      <c r="C13" s="233" cm="1">
        <f t="array" ref="C13">_xlfn.IFS(D13&lt;=O$2,P$2,D13&lt;=O$3,P$3,D13&lt;=O$4,P$4,D13&gt;O$5,P$5)</f>
        <v>1</v>
      </c>
      <c r="D13" s="99">
        <v>8</v>
      </c>
      <c r="E13" s="233" cm="1">
        <f t="array" ref="E13">_xlfn.IFS(Gestao[[#This Row],[Desvio do planejamento dos PDCs prioritáros (Planej. - Indic.)
(%)]]&lt;=$S$2,$T$2,Gestao[[#This Row],[Desvio do planejamento dos PDCs prioritáros (Planej. - Indic.)
(%)]]&gt;$S$3,$T$3)</f>
        <v>5</v>
      </c>
      <c r="F13" s="234">
        <f>Gestao[[#This Row],[Planejamento (%)]]-Gestao[[#This Row],[Indicações  (%)]]</f>
        <v>-7.3404936396897269E-2</v>
      </c>
      <c r="G13" s="232">
        <f>SUMIFS(PAPI!D:D,PAPI!A:A,Gestao[[#This Row],[UGRHI]])</f>
        <v>3515556</v>
      </c>
      <c r="H13" s="232">
        <f>SUMIFS(PAPI!D:D,PAPI!A:A,Gestao[[#This Row],[UGRHI]],PAPI!C:C,"Prioritário")</f>
        <v>2617000</v>
      </c>
      <c r="I13" s="207">
        <f>Gestao[[#This Row],[Planejamento PA/PI 2020  nos PDCs prioritários
(R$)]]/Gestao[[#This Row],[Planejamento PA/PI 2020 - (R$) ]]</f>
        <v>0.74440572131406813</v>
      </c>
      <c r="J13" s="188">
        <f>SUMIFS('empreend 2019_2020'!F:F,'empreend 2019_2020'!K:K,"Prioritário",'empreend 2019_2020'!A:A,Gestao[[#This Row],[UGRHI]],'empreend 2019_2020'!B:B,2020)</f>
        <v>1497394.68</v>
      </c>
      <c r="K13" s="232">
        <f>SUMIF('Info- DOF - cfurh_cob - '!$J$113:$J$133,Gestao[[#This Row],[UGRHI]],'Info- DOF - cfurh_cob - '!$K$113:$K$133)</f>
        <v>1830979.6600000001</v>
      </c>
      <c r="L13" s="231">
        <f>Gestao[[#This Row],[Indicações 2020
  nos PDC prioritários (R$)
]]/Gestao[[#This Row],[Total disponivel (CFURH+ Cob) nos Planos de aplicação - 2020 (R$)]]</f>
        <v>0.81781065771096539</v>
      </c>
      <c r="P13" s="104"/>
    </row>
    <row r="14" spans="1:20" ht="20.25" customHeight="1">
      <c r="A14" s="105">
        <v>13</v>
      </c>
      <c r="B14" s="233">
        <f t="shared" si="0"/>
        <v>10</v>
      </c>
      <c r="C14" s="233" cm="1">
        <f t="array" ref="C14">_xlfn.IFS(D14&lt;=O$2,P$2,D14&lt;=O$3,P$3,D14&lt;=O$4,P$4,D14&gt;O$5,P$5)</f>
        <v>5</v>
      </c>
      <c r="D14" s="99">
        <v>10</v>
      </c>
      <c r="E14" s="233" cm="1">
        <f t="array" ref="E14">_xlfn.IFS(Gestao[[#This Row],[Desvio do planejamento dos PDCs prioritáros (Planej. - Indic.)
(%)]]&lt;=$S$2,$T$2,Gestao[[#This Row],[Desvio do planejamento dos PDCs prioritáros (Planej. - Indic.)
(%)]]&gt;$S$3,$T$3)</f>
        <v>5</v>
      </c>
      <c r="F14" s="234">
        <f>Gestao[[#This Row],[Planejamento (%)]]-Gestao[[#This Row],[Indicações  (%)]]</f>
        <v>-6.1469441930715241E-2</v>
      </c>
      <c r="G14" s="232">
        <f>SUMIFS(PAPI!D:D,PAPI!A:A,Gestao[[#This Row],[UGRHI]])</f>
        <v>8699791.7799999993</v>
      </c>
      <c r="H14" s="232">
        <f>SUMIFS(PAPI!D:D,PAPI!A:A,Gestao[[#This Row],[UGRHI]],PAPI!C:C,"Prioritário")</f>
        <v>5748568.04</v>
      </c>
      <c r="I14" s="207">
        <f>Gestao[[#This Row],[Planejamento PA/PI 2020  nos PDCs prioritários
(R$)]]/Gestao[[#This Row],[Planejamento PA/PI 2020 - (R$) ]]</f>
        <v>0.66077076157333048</v>
      </c>
      <c r="J14" s="188">
        <f>SUMIFS('empreend 2019_2020'!F:F,'empreend 2019_2020'!K:K,"Prioritário",'empreend 2019_2020'!A:A,Gestao[[#This Row],[UGRHI]],'empreend 2019_2020'!B:B,2020)</f>
        <v>5446004.5000000009</v>
      </c>
      <c r="K14" s="232">
        <f>SUMIF('Info- DOF - cfurh_cob - '!$J$113:$J$133,Gestao[[#This Row],[UGRHI]],'Info- DOF - cfurh_cob - '!$K$113:$K$133)</f>
        <v>7540433.8799999999</v>
      </c>
      <c r="L14" s="231">
        <f>Gestao[[#This Row],[Indicações 2020
  nos PDC prioritários (R$)
]]/Gestao[[#This Row],[Total disponivel (CFURH+ Cob) nos Planos de aplicação - 2020 (R$)]]</f>
        <v>0.72224020350404572</v>
      </c>
      <c r="P14" s="104"/>
    </row>
    <row r="15" spans="1:20" ht="20.25" customHeight="1">
      <c r="A15" s="105">
        <v>14</v>
      </c>
      <c r="B15" s="233">
        <f t="shared" si="0"/>
        <v>5</v>
      </c>
      <c r="C15" s="233" cm="1">
        <f t="array" ref="C15">_xlfn.IFS(D15&lt;=O$2,P$2,D15&lt;=O$3,P$3,D15&lt;=O$4,P$4,D15&gt;O$5,P$5)</f>
        <v>5</v>
      </c>
      <c r="D15" s="99">
        <v>9.3000000000000007</v>
      </c>
      <c r="E15" s="233" cm="1">
        <f t="array" ref="E15">_xlfn.IFS(Gestao[[#This Row],[Desvio do planejamento dos PDCs prioritáros (Planej. - Indic.)
(%)]]&lt;=$S$2,$T$2,Gestao[[#This Row],[Desvio do planejamento dos PDCs prioritáros (Planej. - Indic.)
(%)]]&gt;$S$3,$T$3)</f>
        <v>0</v>
      </c>
      <c r="F15" s="234">
        <f>Gestao[[#This Row],[Planejamento (%)]]-Gestao[[#This Row],[Indicações  (%)]]</f>
        <v>0.43730512442399538</v>
      </c>
      <c r="G15" s="232">
        <f>SUMIFS(PAPI!D:D,PAPI!A:A,Gestao[[#This Row],[UGRHI]])</f>
        <v>1799443.9400000002</v>
      </c>
      <c r="H15" s="232">
        <f>SUMIFS(PAPI!D:D,PAPI!A:A,Gestao[[#This Row],[UGRHI]],PAPI!C:C,"Prioritário")</f>
        <v>1259610.75</v>
      </c>
      <c r="I15" s="207">
        <f>Gestao[[#This Row],[Planejamento PA/PI 2020  nos PDCs prioritários
(R$)]]/Gestao[[#This Row],[Planejamento PA/PI 2020 - (R$) ]]</f>
        <v>0.69999999555418202</v>
      </c>
      <c r="J15" s="188">
        <f>SUMIFS('empreend 2019_2020'!F:F,'empreend 2019_2020'!K:K,"Prioritário",'empreend 2019_2020'!A:A,Gestao[[#This Row],[UGRHI]],'empreend 2019_2020'!B:B,2020)</f>
        <v>770956.85000000009</v>
      </c>
      <c r="K15" s="232">
        <f>SUMIF('Info- DOF - cfurh_cob - '!$J$113:$J$133,Gestao[[#This Row],[UGRHI]],'Info- DOF - cfurh_cob - '!$K$113:$K$133)</f>
        <v>2934799.7800000003</v>
      </c>
      <c r="L15" s="231">
        <f>Gestao[[#This Row],[Indicações 2020
  nos PDC prioritários (R$)
]]/Gestao[[#This Row],[Total disponivel (CFURH+ Cob) nos Planos de aplicação - 2020 (R$)]]</f>
        <v>0.26269487113018664</v>
      </c>
      <c r="P15" s="104"/>
    </row>
    <row r="16" spans="1:20" ht="20.25" customHeight="1">
      <c r="A16" s="105">
        <v>15</v>
      </c>
      <c r="B16" s="233">
        <f t="shared" si="0"/>
        <v>3</v>
      </c>
      <c r="C16" s="233" cm="1">
        <f t="array" ref="C16">_xlfn.IFS(D16&lt;=O$2,P$2,D16&lt;=O$3,P$3,D16&lt;=O$4,P$4,D16&gt;O$5,P$5)</f>
        <v>3</v>
      </c>
      <c r="D16" s="99">
        <v>8.1999999999999993</v>
      </c>
      <c r="E16" s="233" cm="1">
        <f t="array" ref="E16">_xlfn.IFS(Gestao[[#This Row],[Desvio do planejamento dos PDCs prioritáros (Planej. - Indic.)
(%)]]&lt;=$S$2,$T$2,Gestao[[#This Row],[Desvio do planejamento dos PDCs prioritáros (Planej. - Indic.)
(%)]]&gt;$S$3,$T$3)</f>
        <v>0</v>
      </c>
      <c r="F16" s="234">
        <f>Gestao[[#This Row],[Planejamento (%)]]-Gestao[[#This Row],[Indicações  (%)]]</f>
        <v>0.61730129722431482</v>
      </c>
      <c r="G16" s="232">
        <f>SUMIFS(PAPI!D:D,PAPI!A:A,Gestao[[#This Row],[UGRHI]])</f>
        <v>3768303.6500000004</v>
      </c>
      <c r="H16" s="232">
        <f>SUMIFS(PAPI!D:D,PAPI!A:A,Gestao[[#This Row],[UGRHI]],PAPI!C:C,"Prioritário")</f>
        <v>2878303.6500000004</v>
      </c>
      <c r="I16" s="207">
        <f>Gestao[[#This Row],[Planejamento PA/PI 2020  nos PDCs prioritários
(R$)]]/Gestao[[#This Row],[Planejamento PA/PI 2020 - (R$) ]]</f>
        <v>0.7638194575959929</v>
      </c>
      <c r="J16" s="188">
        <f>SUMIFS('empreend 2019_2020'!F:F,'empreend 2019_2020'!K:K,"Prioritário",'empreend 2019_2020'!A:A,Gestao[[#This Row],[UGRHI]],'empreend 2019_2020'!B:B,2020)</f>
        <v>1086140.21</v>
      </c>
      <c r="K16" s="232">
        <f>SUMIF('Info- DOF - cfurh_cob - '!$J$113:$J$133,Gestao[[#This Row],[UGRHI]],'Info- DOF - cfurh_cob - '!$K$113:$K$133)</f>
        <v>7413007.4199999999</v>
      </c>
      <c r="L16" s="231">
        <f>Gestao[[#This Row],[Indicações 2020
  nos PDC prioritários (R$)
]]/Gestao[[#This Row],[Total disponivel (CFURH+ Cob) nos Planos de aplicação - 2020 (R$)]]</f>
        <v>0.14651816037167814</v>
      </c>
      <c r="P16" s="104"/>
    </row>
    <row r="17" spans="1:12" ht="20.25" customHeight="1">
      <c r="A17" s="105">
        <v>16</v>
      </c>
      <c r="B17" s="233">
        <f t="shared" si="0"/>
        <v>10</v>
      </c>
      <c r="C17" s="233" cm="1">
        <f t="array" ref="C17">_xlfn.IFS(D17&lt;=O$2,P$2,D17&lt;=O$3,P$3,D17&lt;=O$4,P$4,D17&gt;O$5,P$5)</f>
        <v>5</v>
      </c>
      <c r="D17" s="99">
        <v>9.1</v>
      </c>
      <c r="E17" s="233" cm="1">
        <f t="array" ref="E17">_xlfn.IFS(Gestao[[#This Row],[Desvio do planejamento dos PDCs prioritáros (Planej. - Indic.)
(%)]]&lt;=$S$2,$T$2,Gestao[[#This Row],[Desvio do planejamento dos PDCs prioritáros (Planej. - Indic.)
(%)]]&gt;$S$3,$T$3)</f>
        <v>5</v>
      </c>
      <c r="F17" s="234">
        <f>Gestao[[#This Row],[Planejamento (%)]]-Gestao[[#This Row],[Indicações  (%)]]</f>
        <v>-9.2496397527843333E-2</v>
      </c>
      <c r="G17" s="232">
        <f>SUMIFS(PAPI!D:D,PAPI!A:A,Gestao[[#This Row],[UGRHI]])</f>
        <v>4476037.8000000007</v>
      </c>
      <c r="H17" s="232">
        <f>SUMIFS(PAPI!D:D,PAPI!A:A,Gestao[[#This Row],[UGRHI]],PAPI!C:C,"Prioritário")</f>
        <v>3423116.3800000004</v>
      </c>
      <c r="I17" s="207">
        <f>Gestao[[#This Row],[Planejamento PA/PI 2020  nos PDCs prioritários
(R$)]]/Gestao[[#This Row],[Planejamento PA/PI 2020 - (R$) ]]</f>
        <v>0.76476485073472789</v>
      </c>
      <c r="J17" s="188">
        <f>SUMIFS('empreend 2019_2020'!F:F,'empreend 2019_2020'!K:K,"Prioritário",'empreend 2019_2020'!A:A,Gestao[[#This Row],[UGRHI]],'empreend 2019_2020'!B:B,2020)</f>
        <v>3423116.3800000004</v>
      </c>
      <c r="K17" s="232">
        <f>SUMIF('Info- DOF - cfurh_cob - '!$J$113:$J$133,Gestao[[#This Row],[UGRHI]],'Info- DOF - cfurh_cob - '!$K$113:$K$133)</f>
        <v>3993084.2399999998</v>
      </c>
      <c r="L17" s="231">
        <f>Gestao[[#This Row],[Indicações 2020
  nos PDC prioritários (R$)
]]/Gestao[[#This Row],[Total disponivel (CFURH+ Cob) nos Planos de aplicação - 2020 (R$)]]</f>
        <v>0.85726124826257122</v>
      </c>
    </row>
    <row r="18" spans="1:12" ht="20.25" customHeight="1">
      <c r="A18" s="105">
        <v>17</v>
      </c>
      <c r="B18" s="233">
        <f t="shared" si="0"/>
        <v>5</v>
      </c>
      <c r="C18" s="233" cm="1">
        <f t="array" ref="C18">_xlfn.IFS(D18&lt;=O$2,P$2,D18&lt;=O$3,P$3,D18&lt;=O$4,P$4,D18&gt;O$5,P$5)</f>
        <v>0</v>
      </c>
      <c r="D18" s="99">
        <v>6.3</v>
      </c>
      <c r="E18" s="233" cm="1">
        <f t="array" ref="E18">_xlfn.IFS(Gestao[[#This Row],[Desvio do planejamento dos PDCs prioritáros (Planej. - Indic.)
(%)]]&lt;=$S$2,$T$2,Gestao[[#This Row],[Desvio do planejamento dos PDCs prioritáros (Planej. - Indic.)
(%)]]&gt;$S$3,$T$3)</f>
        <v>5</v>
      </c>
      <c r="F18" s="234">
        <f>Gestao[[#This Row],[Planejamento (%)]]-Gestao[[#This Row],[Indicações  (%)]]</f>
        <v>7.2808818760040306E-2</v>
      </c>
      <c r="G18" s="232">
        <f>SUMIFS(PAPI!D:D,PAPI!A:A,Gestao[[#This Row],[UGRHI]])</f>
        <v>3620654.3600000003</v>
      </c>
      <c r="H18" s="232">
        <f>SUMIFS(PAPI!D:D,PAPI!A:A,Gestao[[#This Row],[UGRHI]],PAPI!C:C,"Prioritário")</f>
        <v>3074595.3000000003</v>
      </c>
      <c r="I18" s="207">
        <f>Gestao[[#This Row],[Planejamento PA/PI 2020  nos PDCs prioritários
(R$)]]/Gestao[[#This Row],[Planejamento PA/PI 2020 - (R$) ]]</f>
        <v>0.84918221799000992</v>
      </c>
      <c r="J18" s="188">
        <f>SUMIFS('empreend 2019_2020'!F:F,'empreend 2019_2020'!K:K,"Prioritário",'empreend 2019_2020'!A:A,Gestao[[#This Row],[UGRHI]],'empreend 2019_2020'!B:B,2020)</f>
        <v>2592127.75</v>
      </c>
      <c r="K18" s="232">
        <f>SUMIF('Info- DOF - cfurh_cob - '!$J$113:$J$133,Gestao[[#This Row],[UGRHI]],'Info- DOF - cfurh_cob - '!$K$113:$K$133)</f>
        <v>3338764.25</v>
      </c>
      <c r="L18" s="231">
        <f>Gestao[[#This Row],[Indicações 2020
  nos PDC prioritários (R$)
]]/Gestao[[#This Row],[Total disponivel (CFURH+ Cob) nos Planos de aplicação - 2020 (R$)]]</f>
        <v>0.77637339922996962</v>
      </c>
    </row>
    <row r="19" spans="1:12" ht="22.5" customHeight="1">
      <c r="A19" s="105">
        <v>18</v>
      </c>
      <c r="B19" s="233">
        <f t="shared" si="0"/>
        <v>10</v>
      </c>
      <c r="C19" s="233" cm="1">
        <f t="array" ref="C19">_xlfn.IFS(D19&lt;=O$2,P$2,D19&lt;=O$3,P$3,D19&lt;=O$4,P$4,D19&gt;O$5,P$5)</f>
        <v>5</v>
      </c>
      <c r="D19" s="99">
        <v>9.6999999999999993</v>
      </c>
      <c r="E19" s="233" cm="1">
        <f t="array" ref="E19">_xlfn.IFS(Gestao[[#This Row],[Desvio do planejamento dos PDCs prioritáros (Planej. - Indic.)
(%)]]&lt;=$S$2,$T$2,Gestao[[#This Row],[Desvio do planejamento dos PDCs prioritáros (Planej. - Indic.)
(%)]]&gt;$S$3,$T$3)</f>
        <v>5</v>
      </c>
      <c r="F19" s="234">
        <f>Gestao[[#This Row],[Planejamento (%)]]-Gestao[[#This Row],[Indicações  (%)]]</f>
        <v>3.8994640186706335E-2</v>
      </c>
      <c r="G19" s="232">
        <f>SUMIFS(PAPI!D:D,PAPI!A:A,Gestao[[#This Row],[UGRHI]])</f>
        <v>641113.75</v>
      </c>
      <c r="H19" s="232">
        <f>SUMIFS(PAPI!D:D,PAPI!A:A,Gestao[[#This Row],[UGRHI]],PAPI!C:C,"Prioritário")</f>
        <v>25000</v>
      </c>
      <c r="I19" s="207">
        <f>Gestao[[#This Row],[Planejamento PA/PI 2020  nos PDCs prioritários
(R$)]]/Gestao[[#This Row],[Planejamento PA/PI 2020 - (R$) ]]</f>
        <v>3.8994640186706335E-2</v>
      </c>
      <c r="J19" s="188">
        <f>SUMIFS('empreend 2019_2020'!F:F,'empreend 2019_2020'!K:K,"Prioritário",'empreend 2019_2020'!A:A,Gestao[[#This Row],[UGRHI]],'empreend 2019_2020'!B:B,2020)</f>
        <v>0</v>
      </c>
      <c r="K19" s="232">
        <f>SUMIF('Info- DOF - cfurh_cob - '!$J$113:$J$133,Gestao[[#This Row],[UGRHI]],'Info- DOF - cfurh_cob - '!$K$113:$K$133)</f>
        <v>616113.75</v>
      </c>
      <c r="L19" s="231">
        <f>Gestao[[#This Row],[Indicações 2020
  nos PDC prioritários (R$)
]]/Gestao[[#This Row],[Total disponivel (CFURH+ Cob) nos Planos de aplicação - 2020 (R$)]]</f>
        <v>0</v>
      </c>
    </row>
    <row r="20" spans="1:12" ht="20.25" customHeight="1">
      <c r="A20" s="105">
        <v>19</v>
      </c>
      <c r="B20" s="233">
        <f t="shared" si="0"/>
        <v>8</v>
      </c>
      <c r="C20" s="233" cm="1">
        <f t="array" ref="C20">_xlfn.IFS(D20&lt;=O$2,P$2,D20&lt;=O$3,P$3,D20&lt;=O$4,P$4,D20&gt;O$5,P$5)</f>
        <v>3</v>
      </c>
      <c r="D20" s="99">
        <v>8.4</v>
      </c>
      <c r="E20" s="233" cm="1">
        <f t="array" ref="E20">_xlfn.IFS(Gestao[[#This Row],[Desvio do planejamento dos PDCs prioritáros (Planej. - Indic.)
(%)]]&lt;=$S$2,$T$2,Gestao[[#This Row],[Desvio do planejamento dos PDCs prioritáros (Planej. - Indic.)
(%)]]&gt;$S$3,$T$3)</f>
        <v>5</v>
      </c>
      <c r="F20" s="234">
        <f>Gestao[[#This Row],[Planejamento (%)]]-Gestao[[#This Row],[Indicações  (%)]]</f>
        <v>-0.14748049359747739</v>
      </c>
      <c r="G20" s="232">
        <f>SUMIFS(PAPI!D:D,PAPI!A:A,Gestao[[#This Row],[UGRHI]])</f>
        <v>7434755.1899999995</v>
      </c>
      <c r="H20" s="232">
        <f>SUMIFS(PAPI!D:D,PAPI!A:A,Gestao[[#This Row],[UGRHI]],PAPI!C:C,"Prioritário")</f>
        <v>6300000</v>
      </c>
      <c r="I20" s="207">
        <f>Gestao[[#This Row],[Planejamento PA/PI 2020  nos PDCs prioritários
(R$)]]/Gestao[[#This Row],[Planejamento PA/PI 2020 - (R$) ]]</f>
        <v>0.84737154606969656</v>
      </c>
      <c r="J20" s="188">
        <f>SUMIFS('empreend 2019_2020'!F:F,'empreend 2019_2020'!K:K,"Prioritário",'empreend 2019_2020'!A:A,Gestao[[#This Row],[UGRHI]],'empreend 2019_2020'!B:B,2020)</f>
        <v>6890831.5899999989</v>
      </c>
      <c r="K20" s="232">
        <f>SUMIF('Info- DOF - cfurh_cob - '!$J$113:$J$133,Gestao[[#This Row],[UGRHI]],'Info- DOF - cfurh_cob - '!$K$113:$K$133)</f>
        <v>6926488.8799999999</v>
      </c>
      <c r="L20" s="231">
        <f>Gestao[[#This Row],[Indicações 2020
  nos PDC prioritários (R$)
]]/Gestao[[#This Row],[Total disponivel (CFURH+ Cob) nos Planos de aplicação - 2020 (R$)]]</f>
        <v>0.99485203966717395</v>
      </c>
    </row>
    <row r="21" spans="1:12" ht="20.25" customHeight="1">
      <c r="A21" s="105">
        <v>2021</v>
      </c>
      <c r="B21" s="233">
        <f t="shared" si="0"/>
        <v>6</v>
      </c>
      <c r="C21" s="233" cm="1">
        <f t="array" ref="C21">_xlfn.IFS(D21&lt;=O$2,P$2,D21&lt;=O$3,P$3,D21&lt;=O$4,P$4,D21&gt;O$5,P$5)</f>
        <v>1</v>
      </c>
      <c r="D21" s="99">
        <v>7.3</v>
      </c>
      <c r="E21" s="233" cm="1">
        <f t="array" ref="E21">_xlfn.IFS(Gestao[[#This Row],[Desvio do planejamento dos PDCs prioritáros (Planej. - Indic.)
(%)]]&lt;=$S$2,$T$2,Gestao[[#This Row],[Desvio do planejamento dos PDCs prioritáros (Planej. - Indic.)
(%)]]&gt;$S$3,$T$3)</f>
        <v>5</v>
      </c>
      <c r="F21" s="234">
        <f>Gestao[[#This Row],[Planejamento (%)]]-Gestao[[#This Row],[Indicações  (%)]]</f>
        <v>4.7910985776166815E-2</v>
      </c>
      <c r="G21" s="232">
        <f>SUMIFS(PAPI!D:D,PAPI!A:A,Gestao[[#This Row],[UGRHI]])</f>
        <v>4182035.2800000003</v>
      </c>
      <c r="H21" s="232">
        <f>SUMIFS(PAPI!D:D,PAPI!A:A,Gestao[[#This Row],[UGRHI]],PAPI!C:C,"Prioritário")</f>
        <v>3918792.37</v>
      </c>
      <c r="I21" s="207">
        <f>Gestao[[#This Row],[Planejamento PA/PI 2020  nos PDCs prioritários
(R$)]]/Gestao[[#This Row],[Planejamento PA/PI 2020 - (R$) ]]</f>
        <v>0.93705387631258819</v>
      </c>
      <c r="J21" s="188">
        <f>SUMIFS('empreend 2019_2020'!F:F,'empreend 2019_2020'!K:K,"Prioritário",'empreend 2019_2020'!A:A,Gestao[[#This Row],[UGRHI]],'empreend 2019_2020'!B:B,2020)</f>
        <v>3743792.37</v>
      </c>
      <c r="K21" s="232">
        <f>SUMIF('Info- DOF - cfurh_cob - '!$J$113:$J$133,Gestao[[#This Row],[UGRHI]],'Info- DOF - cfurh_cob - '!$K$113:$K$133)</f>
        <v>4210563.24</v>
      </c>
      <c r="L21" s="231">
        <f>Gestao[[#This Row],[Indicações 2020
  nos PDC prioritários (R$)
]]/Gestao[[#This Row],[Total disponivel (CFURH+ Cob) nos Planos de aplicação - 2020 (R$)]]</f>
        <v>0.88914289053642137</v>
      </c>
    </row>
    <row r="22" spans="1:12" ht="20.25" customHeight="1">
      <c r="A22" s="235">
        <v>22</v>
      </c>
      <c r="B22" s="233">
        <f t="shared" si="0"/>
        <v>10</v>
      </c>
      <c r="C22" s="236" cm="1">
        <f t="array" ref="C22">_xlfn.IFS(D22&lt;=O$2,P$2,D22&lt;=O$3,P$3,D22&lt;=O$4,P$4,D22&gt;O$5,P$5)</f>
        <v>5</v>
      </c>
      <c r="D22" s="237">
        <v>9.3000000000000007</v>
      </c>
      <c r="E22" s="233" cm="1">
        <f t="array" ref="E22">_xlfn.IFS(Gestao[[#This Row],[Desvio do planejamento dos PDCs prioritáros (Planej. - Indic.)
(%)]]&lt;=$S$2,$T$2,Gestao[[#This Row],[Desvio do planejamento dos PDCs prioritáros (Planej. - Indic.)
(%)]]&gt;$S$3,$T$3)</f>
        <v>5</v>
      </c>
      <c r="F22" s="234">
        <f>Gestao[[#This Row],[Planejamento (%)]]-Gestao[[#This Row],[Indicações  (%)]]</f>
        <v>-0.46948412912701509</v>
      </c>
      <c r="G22" s="232">
        <f>SUMIFS(PAPI!D:D,PAPI!A:A,Gestao[[#This Row],[UGRHI]])</f>
        <v>1761522.1400000001</v>
      </c>
      <c r="H22" s="232">
        <f>SUMIFS(PAPI!D:D,PAPI!A:A,Gestao[[#This Row],[UGRHI]],PAPI!C:C,"Prioritário")</f>
        <v>873633.22</v>
      </c>
      <c r="I22" s="207">
        <f>Gestao[[#This Row],[Planejamento PA/PI 2020  nos PDCs prioritários
(R$)]]/Gestao[[#This Row],[Planejamento PA/PI 2020 - (R$) ]]</f>
        <v>0.49595358477867324</v>
      </c>
      <c r="J22" s="238">
        <f>SUMIFS('empreend 2019_2020'!F:F,'empreend 2019_2020'!K:K,"Prioritário",'empreend 2019_2020'!A:A,Gestao[[#This Row],[UGRHI]],'empreend 2019_2020'!B:B,2020)</f>
        <v>3093369.29</v>
      </c>
      <c r="K22" s="232">
        <f>SUMIF('Info- DOF - cfurh_cob - '!$J$113:$J$133,Gestao[[#This Row],[UGRHI]],'Info- DOF - cfurh_cob - '!$K$113:$K$133)</f>
        <v>3204110.6799999997</v>
      </c>
      <c r="L22" s="231">
        <f>Gestao[[#This Row],[Indicações 2020
  nos PDC prioritários (R$)
]]/Gestao[[#This Row],[Total disponivel (CFURH+ Cob) nos Planos de aplicação - 2020 (R$)]]</f>
        <v>0.96543771390568833</v>
      </c>
    </row>
    <row r="23" spans="1:12">
      <c r="A23" s="103"/>
      <c r="B23" s="103"/>
      <c r="C23" s="163"/>
      <c r="D23" s="163"/>
      <c r="E23" s="103"/>
      <c r="F23" s="103"/>
      <c r="G23" s="103"/>
      <c r="H23" s="103"/>
      <c r="I23" s="103"/>
      <c r="J23" s="103"/>
      <c r="K23" s="103"/>
      <c r="L23" s="103"/>
    </row>
    <row r="24" spans="1:12">
      <c r="A24" s="103"/>
      <c r="B24" s="103"/>
      <c r="C24" s="163"/>
      <c r="D24" s="163"/>
      <c r="E24" s="103"/>
      <c r="F24" s="103"/>
      <c r="G24" s="103"/>
      <c r="H24" s="103"/>
      <c r="I24" s="103"/>
      <c r="J24" s="103"/>
      <c r="K24" s="103"/>
      <c r="L24" s="103"/>
    </row>
    <row r="25" spans="1:12">
      <c r="A25" s="103"/>
      <c r="B25" s="103"/>
      <c r="C25" s="163"/>
      <c r="D25" s="163"/>
      <c r="E25" s="103"/>
      <c r="F25" s="103"/>
      <c r="G25" s="103"/>
      <c r="H25" s="103"/>
      <c r="I25" s="103"/>
      <c r="J25" s="103"/>
      <c r="K25" s="103"/>
      <c r="L25" s="103"/>
    </row>
    <row r="26" spans="1:12">
      <c r="A26" s="103"/>
      <c r="B26" s="103"/>
      <c r="C26" s="163"/>
      <c r="D26" s="163"/>
      <c r="E26" s="103"/>
      <c r="F26" s="103"/>
      <c r="G26" s="103"/>
      <c r="H26" s="103"/>
      <c r="I26" s="103"/>
      <c r="J26" s="103"/>
      <c r="K26" s="103"/>
      <c r="L26" s="103"/>
    </row>
    <row r="27" spans="1:12">
      <c r="A27" s="103"/>
      <c r="B27" s="103"/>
      <c r="C27" s="163"/>
      <c r="D27" s="163"/>
      <c r="E27" s="103"/>
      <c r="F27" s="103"/>
      <c r="G27" s="103"/>
      <c r="H27" s="103"/>
      <c r="I27" s="103"/>
      <c r="J27" s="103"/>
      <c r="K27" s="103"/>
      <c r="L27" s="103"/>
    </row>
    <row r="28" spans="1:12">
      <c r="A28" s="103"/>
      <c r="B28" s="103"/>
      <c r="C28" s="163"/>
      <c r="D28" s="163"/>
      <c r="E28" s="103"/>
      <c r="F28" s="103"/>
      <c r="G28" s="103"/>
      <c r="H28" s="103"/>
      <c r="I28" s="103"/>
      <c r="J28" s="103"/>
      <c r="K28" s="103"/>
      <c r="L28" s="103"/>
    </row>
    <row r="29" spans="1:12">
      <c r="A29" s="103"/>
      <c r="B29" s="103"/>
      <c r="C29" s="163"/>
      <c r="D29" s="163"/>
      <c r="E29" s="103"/>
      <c r="F29" s="103"/>
      <c r="G29" s="103"/>
      <c r="H29" s="103"/>
      <c r="I29" s="103"/>
      <c r="J29" s="103"/>
      <c r="K29" s="103"/>
      <c r="L29" s="103"/>
    </row>
    <row r="30" spans="1:12">
      <c r="A30" s="103"/>
      <c r="B30" s="103"/>
      <c r="C30" s="163"/>
      <c r="D30" s="163"/>
      <c r="E30" s="103"/>
      <c r="F30" s="103"/>
      <c r="G30" s="103"/>
      <c r="H30" s="103"/>
      <c r="I30" s="103"/>
      <c r="J30" s="103"/>
      <c r="K30" s="103"/>
      <c r="L30" s="103"/>
    </row>
    <row r="31" spans="1:12">
      <c r="A31" s="103"/>
      <c r="B31" s="103"/>
      <c r="C31" s="163"/>
      <c r="D31" s="163"/>
      <c r="E31" s="103"/>
      <c r="F31" s="103"/>
      <c r="G31" s="103"/>
      <c r="H31" s="103"/>
      <c r="I31" s="103"/>
      <c r="J31" s="103"/>
      <c r="K31" s="103"/>
      <c r="L31" s="103"/>
    </row>
    <row r="32" spans="1:12">
      <c r="A32" s="103"/>
      <c r="B32" s="103"/>
      <c r="C32" s="163"/>
      <c r="D32" s="163"/>
      <c r="E32" s="103"/>
      <c r="F32" s="103"/>
      <c r="G32" s="103"/>
      <c r="H32" s="103"/>
      <c r="I32" s="103"/>
      <c r="J32" s="103"/>
      <c r="K32" s="103"/>
      <c r="L32" s="103"/>
    </row>
    <row r="33" spans="1:12">
      <c r="A33" s="103"/>
      <c r="B33" s="103"/>
      <c r="C33" s="163"/>
      <c r="D33" s="163"/>
      <c r="E33" s="103"/>
      <c r="F33" s="103"/>
      <c r="G33" s="103"/>
      <c r="H33" s="103"/>
      <c r="I33" s="103"/>
      <c r="J33" s="103"/>
      <c r="K33" s="103"/>
      <c r="L33" s="103"/>
    </row>
    <row r="34" spans="1:12">
      <c r="A34" s="103"/>
      <c r="B34" s="103"/>
      <c r="C34" s="163"/>
      <c r="D34" s="163"/>
      <c r="E34" s="103"/>
      <c r="F34" s="103"/>
      <c r="G34" s="103"/>
      <c r="H34" s="103"/>
      <c r="I34" s="103"/>
      <c r="J34" s="103"/>
      <c r="K34" s="103"/>
      <c r="L34" s="103"/>
    </row>
    <row r="35" spans="1:12">
      <c r="A35" s="103"/>
      <c r="B35" s="103"/>
      <c r="C35" s="163"/>
      <c r="D35" s="163"/>
      <c r="E35" s="103"/>
      <c r="F35" s="103"/>
      <c r="G35" s="103"/>
      <c r="H35" s="103"/>
      <c r="I35" s="103"/>
      <c r="J35" s="103"/>
      <c r="K35" s="103"/>
      <c r="L35" s="103"/>
    </row>
    <row r="36" spans="1:12">
      <c r="A36" s="103"/>
      <c r="B36" s="103"/>
      <c r="C36" s="163"/>
      <c r="D36" s="163"/>
      <c r="E36" s="103"/>
      <c r="F36" s="103"/>
      <c r="G36" s="103"/>
      <c r="H36" s="103"/>
      <c r="I36" s="103"/>
      <c r="J36" s="103"/>
      <c r="K36" s="103"/>
      <c r="L36" s="103"/>
    </row>
    <row r="37" spans="1:12">
      <c r="A37" s="103"/>
      <c r="B37" s="103"/>
      <c r="C37" s="163"/>
      <c r="D37" s="163"/>
      <c r="E37" s="103"/>
      <c r="F37" s="103"/>
      <c r="G37" s="103"/>
      <c r="H37" s="103"/>
      <c r="I37" s="103"/>
      <c r="J37" s="103"/>
      <c r="K37" s="103"/>
      <c r="L37" s="103"/>
    </row>
    <row r="38" spans="1:12">
      <c r="A38" s="103"/>
      <c r="B38" s="103"/>
      <c r="C38" s="163"/>
      <c r="D38" s="163"/>
      <c r="E38" s="103"/>
      <c r="F38" s="103"/>
      <c r="G38" s="103"/>
      <c r="H38" s="103"/>
      <c r="I38" s="103"/>
      <c r="J38" s="103"/>
      <c r="K38" s="103"/>
      <c r="L38" s="103"/>
    </row>
    <row r="39" spans="1:12">
      <c r="A39" s="103"/>
      <c r="B39" s="103"/>
      <c r="C39" s="163"/>
      <c r="D39" s="163"/>
      <c r="E39" s="103"/>
      <c r="F39" s="103"/>
      <c r="G39" s="103"/>
      <c r="H39" s="103"/>
      <c r="I39" s="103"/>
      <c r="J39" s="103"/>
      <c r="K39" s="103"/>
      <c r="L39" s="103"/>
    </row>
    <row r="40" spans="1:12">
      <c r="F40" s="103"/>
      <c r="G40" s="103"/>
      <c r="H40" s="103"/>
      <c r="I40" s="103"/>
      <c r="J40" s="103"/>
      <c r="K40" s="103"/>
      <c r="L40" s="103"/>
    </row>
  </sheetData>
  <phoneticPr fontId="13" type="noConversion"/>
  <pageMargins left="0.511811024" right="0.511811024" top="0.78740157499999996" bottom="0.78740157499999996" header="0.31496062000000002" footer="0.31496062000000002"/>
  <legacyDrawing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66CC"/>
  </sheetPr>
  <dimension ref="A1:AP121"/>
  <sheetViews>
    <sheetView showGridLines="0" zoomScale="120" zoomScaleNormal="120" workbookViewId="0">
      <pane ySplit="1" topLeftCell="A2" activePane="bottomLeft" state="frozen"/>
      <selection activeCell="D3" sqref="D3"/>
      <selection pane="bottomLeft" activeCell="U9" sqref="U9"/>
    </sheetView>
  </sheetViews>
  <sheetFormatPr defaultColWidth="10.6640625" defaultRowHeight="12.6"/>
  <cols>
    <col min="1" max="1" width="10.6640625" style="104"/>
    <col min="2" max="2" width="15.5546875" style="104" bestFit="1" customWidth="1"/>
    <col min="3" max="3" width="15.5546875" style="104" customWidth="1"/>
    <col min="4" max="5" width="10.6640625" style="104"/>
    <col min="6" max="6" width="17.109375" style="104" customWidth="1"/>
    <col min="7" max="7" width="13.5546875" style="104" customWidth="1"/>
    <col min="8" max="8" width="10.6640625" style="104"/>
    <col min="9" max="9" width="17" style="104" customWidth="1"/>
    <col min="10" max="10" width="15.6640625" style="104" customWidth="1"/>
    <col min="11" max="13" width="10.6640625" style="104"/>
    <col min="14" max="14" width="13.109375" style="104" bestFit="1" customWidth="1"/>
    <col min="15" max="15" width="19.109375" style="104" customWidth="1"/>
    <col min="16" max="16" width="19.33203125" style="104" customWidth="1"/>
    <col min="17" max="17" width="5.109375" style="104" customWidth="1"/>
    <col min="18" max="18" width="24.88671875" style="104" customWidth="1"/>
    <col min="19" max="19" width="13.88671875" style="104" hidden="1" customWidth="1"/>
    <col min="20" max="16384" width="10.6640625" style="104"/>
  </cols>
  <sheetData>
    <row r="1" spans="1:26" s="178" customFormat="1" ht="57">
      <c r="A1" s="179" t="s">
        <v>43</v>
      </c>
      <c r="B1" s="175" t="s">
        <v>77</v>
      </c>
      <c r="C1" s="256" t="s">
        <v>78</v>
      </c>
      <c r="D1" s="176" t="s">
        <v>79</v>
      </c>
      <c r="E1" s="176" t="s">
        <v>80</v>
      </c>
      <c r="F1" s="176" t="s">
        <v>81</v>
      </c>
      <c r="G1" s="176" t="s">
        <v>82</v>
      </c>
      <c r="H1" s="176" t="s">
        <v>83</v>
      </c>
      <c r="I1" s="176" t="s">
        <v>84</v>
      </c>
      <c r="J1" s="176" t="s">
        <v>85</v>
      </c>
      <c r="K1" s="176" t="s">
        <v>86</v>
      </c>
      <c r="L1" s="176" t="s">
        <v>87</v>
      </c>
      <c r="M1" s="176" t="s">
        <v>88</v>
      </c>
      <c r="N1" s="176" t="s">
        <v>89</v>
      </c>
      <c r="O1" s="242" t="s">
        <v>90</v>
      </c>
      <c r="P1" s="176" t="s">
        <v>91</v>
      </c>
      <c r="Q1" s="177"/>
      <c r="R1" s="205" t="s">
        <v>92</v>
      </c>
      <c r="S1" s="257" t="s">
        <v>93</v>
      </c>
      <c r="T1" s="257" t="s">
        <v>94</v>
      </c>
      <c r="U1" s="177"/>
      <c r="V1" s="177"/>
      <c r="W1" s="177"/>
      <c r="X1" s="177"/>
      <c r="Y1" s="177"/>
      <c r="Z1" s="177"/>
    </row>
    <row r="2" spans="1:26">
      <c r="A2" s="112">
        <v>1</v>
      </c>
      <c r="B2" s="162" cm="1">
        <f t="array" ref="B2" xml:space="preserve"> _xlfn.IFS(C2&lt;=S$2,T$2,C2&lt;=S$3,T$3,C2&gt;S$3,T$4)</f>
        <v>0</v>
      </c>
      <c r="C2" s="162">
        <f t="shared" ref="C2:C22" si="0">COUNTIF(D2:P2,"sim")</f>
        <v>4</v>
      </c>
      <c r="D2" s="113" t="s">
        <v>95</v>
      </c>
      <c r="E2" s="113" t="s">
        <v>96</v>
      </c>
      <c r="F2" s="113" t="s">
        <v>95</v>
      </c>
      <c r="G2" s="113" t="s">
        <v>96</v>
      </c>
      <c r="H2" s="113" t="s">
        <v>96</v>
      </c>
      <c r="I2" s="113" t="s">
        <v>95</v>
      </c>
      <c r="J2" s="113" t="s">
        <v>95</v>
      </c>
      <c r="K2" s="113" t="s">
        <v>96</v>
      </c>
      <c r="L2" s="113" t="s">
        <v>96</v>
      </c>
      <c r="M2" s="113" t="s">
        <v>96</v>
      </c>
      <c r="N2" s="113" t="s">
        <v>96</v>
      </c>
      <c r="O2" s="113" t="s">
        <v>96</v>
      </c>
      <c r="P2" s="113" t="s">
        <v>96</v>
      </c>
      <c r="Q2" s="103"/>
      <c r="R2" s="275" t="s">
        <v>97</v>
      </c>
      <c r="S2" s="276">
        <v>6</v>
      </c>
      <c r="T2" s="271">
        <v>0</v>
      </c>
      <c r="U2" s="103"/>
      <c r="V2" s="103"/>
      <c r="W2" s="103"/>
      <c r="X2" s="103"/>
      <c r="Y2" s="103"/>
      <c r="Z2" s="103"/>
    </row>
    <row r="3" spans="1:26">
      <c r="A3" s="107">
        <v>2</v>
      </c>
      <c r="B3" s="162" cm="1">
        <f t="array" ref="B3" xml:space="preserve"> _xlfn.IFS(C3&lt;=S$2,T$2,C3&lt;=S$3,T$3,C3&gt;S$3,T$4)</f>
        <v>0</v>
      </c>
      <c r="C3" s="162">
        <f t="shared" si="0"/>
        <v>5</v>
      </c>
      <c r="D3" s="108" t="s">
        <v>95</v>
      </c>
      <c r="E3" s="108" t="s">
        <v>96</v>
      </c>
      <c r="F3" s="108" t="s">
        <v>95</v>
      </c>
      <c r="G3" s="108" t="s">
        <v>98</v>
      </c>
      <c r="H3" s="108" t="s">
        <v>95</v>
      </c>
      <c r="I3" s="108" t="s">
        <v>96</v>
      </c>
      <c r="J3" s="108" t="s">
        <v>95</v>
      </c>
      <c r="K3" s="108" t="s">
        <v>96</v>
      </c>
      <c r="L3" s="108" t="s">
        <v>96</v>
      </c>
      <c r="M3" s="108" t="s">
        <v>96</v>
      </c>
      <c r="N3" s="108" t="s">
        <v>96</v>
      </c>
      <c r="O3" s="108" t="s">
        <v>96</v>
      </c>
      <c r="P3" s="108" t="s">
        <v>96</v>
      </c>
      <c r="Q3" s="103"/>
      <c r="R3" s="277" t="s">
        <v>99</v>
      </c>
      <c r="S3" s="278">
        <v>11</v>
      </c>
      <c r="T3" s="271">
        <v>3</v>
      </c>
      <c r="U3" s="103"/>
      <c r="V3" s="103"/>
      <c r="W3" s="103"/>
      <c r="X3" s="103"/>
      <c r="Y3" s="103"/>
      <c r="Z3" s="103"/>
    </row>
    <row r="4" spans="1:26">
      <c r="A4" s="112">
        <v>3</v>
      </c>
      <c r="B4" s="162" cm="1">
        <f t="array" ref="B4" xml:space="preserve"> _xlfn.IFS(C4&lt;=S$2,T$2,C4&lt;=S$3,T$3,C4&gt;S$3,T$4)</f>
        <v>3</v>
      </c>
      <c r="C4" s="162">
        <f t="shared" si="0"/>
        <v>7</v>
      </c>
      <c r="D4" s="113" t="s">
        <v>95</v>
      </c>
      <c r="E4" s="113" t="s">
        <v>96</v>
      </c>
      <c r="F4" s="113" t="s">
        <v>95</v>
      </c>
      <c r="G4" s="113" t="s">
        <v>96</v>
      </c>
      <c r="H4" s="113" t="s">
        <v>95</v>
      </c>
      <c r="I4" s="113" t="s">
        <v>95</v>
      </c>
      <c r="J4" s="113" t="s">
        <v>95</v>
      </c>
      <c r="K4" s="113" t="s">
        <v>95</v>
      </c>
      <c r="L4" s="113" t="s">
        <v>96</v>
      </c>
      <c r="M4" s="113" t="s">
        <v>95</v>
      </c>
      <c r="N4" s="113" t="s">
        <v>96</v>
      </c>
      <c r="O4" s="113" t="s">
        <v>96</v>
      </c>
      <c r="P4" s="113" t="s">
        <v>96</v>
      </c>
      <c r="Q4" s="103"/>
      <c r="R4" s="271" t="s">
        <v>100</v>
      </c>
      <c r="S4" s="279">
        <v>11</v>
      </c>
      <c r="T4" s="271">
        <v>5</v>
      </c>
      <c r="U4" s="103"/>
      <c r="V4" s="103"/>
      <c r="W4" s="103"/>
      <c r="X4" s="103"/>
      <c r="Y4" s="103"/>
      <c r="Z4" s="103"/>
    </row>
    <row r="5" spans="1:26">
      <c r="A5" s="107">
        <v>4</v>
      </c>
      <c r="B5" s="162" cm="1">
        <f t="array" ref="B5" xml:space="preserve"> _xlfn.IFS(C5&lt;=S$2,T$2,C5&lt;=S$3,T$3,C5&gt;S$3,T$4)</f>
        <v>3</v>
      </c>
      <c r="C5" s="162">
        <f t="shared" si="0"/>
        <v>8</v>
      </c>
      <c r="D5" s="108" t="s">
        <v>95</v>
      </c>
      <c r="E5" s="108" t="s">
        <v>95</v>
      </c>
      <c r="F5" s="108" t="s">
        <v>95</v>
      </c>
      <c r="G5" s="108" t="s">
        <v>96</v>
      </c>
      <c r="H5" s="108" t="s">
        <v>95</v>
      </c>
      <c r="I5" s="108" t="s">
        <v>95</v>
      </c>
      <c r="J5" s="108" t="s">
        <v>95</v>
      </c>
      <c r="K5" s="108" t="s">
        <v>95</v>
      </c>
      <c r="L5" s="108" t="s">
        <v>96</v>
      </c>
      <c r="M5" s="108" t="s">
        <v>95</v>
      </c>
      <c r="N5" s="108" t="s">
        <v>96</v>
      </c>
      <c r="O5" s="108" t="s">
        <v>96</v>
      </c>
      <c r="P5" s="108" t="s">
        <v>96</v>
      </c>
      <c r="Q5" s="103"/>
      <c r="U5" s="103"/>
      <c r="V5" s="103"/>
      <c r="W5" s="103"/>
      <c r="X5" s="103"/>
      <c r="Y5" s="103"/>
      <c r="Z5" s="103"/>
    </row>
    <row r="6" spans="1:26">
      <c r="A6" s="112">
        <v>5</v>
      </c>
      <c r="B6" s="162" cm="1">
        <f t="array" ref="B6" xml:space="preserve"> _xlfn.IFS(C6&lt;=S$2,T$2,C6&lt;=S$3,T$3,C6&gt;S$3,T$4)</f>
        <v>3</v>
      </c>
      <c r="C6" s="162">
        <f t="shared" si="0"/>
        <v>7</v>
      </c>
      <c r="D6" s="113" t="s">
        <v>95</v>
      </c>
      <c r="E6" s="113" t="s">
        <v>95</v>
      </c>
      <c r="F6" s="113" t="s">
        <v>95</v>
      </c>
      <c r="G6" s="113" t="s">
        <v>95</v>
      </c>
      <c r="H6" s="113" t="s">
        <v>96</v>
      </c>
      <c r="I6" s="113" t="s">
        <v>95</v>
      </c>
      <c r="J6" s="113" t="s">
        <v>95</v>
      </c>
      <c r="K6" s="113" t="s">
        <v>95</v>
      </c>
      <c r="L6" s="113" t="s">
        <v>96</v>
      </c>
      <c r="M6" s="113" t="s">
        <v>96</v>
      </c>
      <c r="N6" s="113" t="s">
        <v>96</v>
      </c>
      <c r="O6" s="113" t="s">
        <v>96</v>
      </c>
      <c r="P6" s="113" t="s">
        <v>96</v>
      </c>
      <c r="Q6" s="103"/>
      <c r="U6" s="103"/>
      <c r="V6" s="103"/>
      <c r="W6" s="103"/>
      <c r="X6" s="103"/>
      <c r="Y6" s="103"/>
      <c r="Z6" s="103"/>
    </row>
    <row r="7" spans="1:26">
      <c r="A7" s="107">
        <v>6</v>
      </c>
      <c r="B7" s="162" cm="1">
        <f t="array" ref="B7" xml:space="preserve"> _xlfn.IFS(C7&lt;=S$2,T$2,C7&lt;=S$3,T$3,C7&gt;S$3,T$4)</f>
        <v>3</v>
      </c>
      <c r="C7" s="162">
        <f t="shared" si="0"/>
        <v>7</v>
      </c>
      <c r="D7" s="108" t="s">
        <v>95</v>
      </c>
      <c r="E7" s="108" t="s">
        <v>95</v>
      </c>
      <c r="F7" s="108" t="s">
        <v>95</v>
      </c>
      <c r="G7" s="108" t="s">
        <v>95</v>
      </c>
      <c r="H7" s="108" t="s">
        <v>95</v>
      </c>
      <c r="I7" s="108" t="s">
        <v>95</v>
      </c>
      <c r="J7" s="108" t="s">
        <v>95</v>
      </c>
      <c r="K7" s="108" t="s">
        <v>96</v>
      </c>
      <c r="L7" s="108" t="s">
        <v>96</v>
      </c>
      <c r="M7" s="108" t="s">
        <v>96</v>
      </c>
      <c r="N7" s="108" t="s">
        <v>96</v>
      </c>
      <c r="O7" s="108" t="s">
        <v>96</v>
      </c>
      <c r="P7" s="108" t="s">
        <v>96</v>
      </c>
      <c r="Q7" s="103"/>
      <c r="U7" s="103"/>
      <c r="V7" s="103"/>
      <c r="W7" s="103"/>
      <c r="X7" s="103"/>
      <c r="Y7" s="103"/>
      <c r="Z7" s="103"/>
    </row>
    <row r="8" spans="1:26">
      <c r="A8" s="112">
        <v>7</v>
      </c>
      <c r="B8" s="162" cm="1">
        <f t="array" ref="B8" xml:space="preserve"> _xlfn.IFS(C8&lt;=S$2,T$2,C8&lt;=S$3,T$3,C8&gt;S$3,T$4)</f>
        <v>3</v>
      </c>
      <c r="C8" s="162">
        <f t="shared" si="0"/>
        <v>8</v>
      </c>
      <c r="D8" s="113" t="s">
        <v>95</v>
      </c>
      <c r="E8" s="113" t="s">
        <v>95</v>
      </c>
      <c r="F8" s="113" t="s">
        <v>95</v>
      </c>
      <c r="G8" s="113" t="s">
        <v>96</v>
      </c>
      <c r="H8" s="113" t="s">
        <v>95</v>
      </c>
      <c r="I8" s="113" t="s">
        <v>95</v>
      </c>
      <c r="J8" s="113" t="s">
        <v>95</v>
      </c>
      <c r="K8" s="113" t="s">
        <v>95</v>
      </c>
      <c r="L8" s="113" t="s">
        <v>96</v>
      </c>
      <c r="M8" s="113" t="s">
        <v>95</v>
      </c>
      <c r="N8" s="113" t="s">
        <v>96</v>
      </c>
      <c r="O8" s="113" t="s">
        <v>96</v>
      </c>
      <c r="P8" s="113" t="s">
        <v>96</v>
      </c>
      <c r="Q8" s="103"/>
      <c r="R8" s="103"/>
      <c r="S8" s="103"/>
      <c r="T8" s="103"/>
      <c r="U8" s="103"/>
      <c r="V8" s="103"/>
      <c r="W8" s="103"/>
      <c r="X8" s="103"/>
      <c r="Y8" s="103"/>
      <c r="Z8" s="103"/>
    </row>
    <row r="9" spans="1:26">
      <c r="A9" s="107">
        <v>8</v>
      </c>
      <c r="B9" s="162" cm="1">
        <f t="array" ref="B9" xml:space="preserve"> _xlfn.IFS(C9&lt;=S$2,T$2,C9&lt;=S$3,T$3,C9&gt;S$3,T$4)</f>
        <v>3</v>
      </c>
      <c r="C9" s="162">
        <f t="shared" si="0"/>
        <v>7</v>
      </c>
      <c r="D9" s="108" t="s">
        <v>95</v>
      </c>
      <c r="E9" s="108" t="s">
        <v>96</v>
      </c>
      <c r="F9" s="108" t="s">
        <v>95</v>
      </c>
      <c r="G9" s="108" t="s">
        <v>96</v>
      </c>
      <c r="H9" s="108" t="s">
        <v>95</v>
      </c>
      <c r="I9" s="108" t="s">
        <v>95</v>
      </c>
      <c r="J9" s="108" t="s">
        <v>95</v>
      </c>
      <c r="K9" s="108" t="s">
        <v>95</v>
      </c>
      <c r="L9" s="108" t="s">
        <v>96</v>
      </c>
      <c r="M9" s="108" t="s">
        <v>95</v>
      </c>
      <c r="N9" s="108" t="s">
        <v>96</v>
      </c>
      <c r="O9" s="108" t="s">
        <v>96</v>
      </c>
      <c r="P9" s="108" t="s">
        <v>96</v>
      </c>
      <c r="Q9" s="103"/>
      <c r="R9" s="103"/>
      <c r="S9" s="103"/>
      <c r="T9" s="103"/>
      <c r="U9" s="103"/>
      <c r="V9" s="103"/>
      <c r="W9" s="103"/>
      <c r="X9" s="103"/>
      <c r="Y9" s="103"/>
      <c r="Z9" s="103"/>
    </row>
    <row r="10" spans="1:26">
      <c r="A10" s="112">
        <v>9</v>
      </c>
      <c r="B10" s="162" cm="1">
        <f t="array" ref="B10" xml:space="preserve"> _xlfn.IFS(C10&lt;=S$2,T$2,C10&lt;=S$3,T$3,C10&gt;S$3,T$4)</f>
        <v>0</v>
      </c>
      <c r="C10" s="162">
        <f t="shared" si="0"/>
        <v>6</v>
      </c>
      <c r="D10" s="113" t="s">
        <v>95</v>
      </c>
      <c r="E10" s="113" t="s">
        <v>95</v>
      </c>
      <c r="F10" s="113" t="s">
        <v>95</v>
      </c>
      <c r="G10" s="113" t="s">
        <v>96</v>
      </c>
      <c r="H10" s="113" t="s">
        <v>95</v>
      </c>
      <c r="I10" s="113" t="s">
        <v>95</v>
      </c>
      <c r="J10" s="113" t="s">
        <v>96</v>
      </c>
      <c r="K10" s="113" t="s">
        <v>95</v>
      </c>
      <c r="L10" s="113" t="s">
        <v>96</v>
      </c>
      <c r="M10" s="113" t="s">
        <v>96</v>
      </c>
      <c r="N10" s="113" t="s">
        <v>96</v>
      </c>
      <c r="O10" s="113" t="s">
        <v>96</v>
      </c>
      <c r="P10" s="113" t="s">
        <v>96</v>
      </c>
      <c r="Q10" s="103"/>
      <c r="R10" s="103"/>
      <c r="S10" s="103"/>
      <c r="T10" s="103"/>
      <c r="U10" s="103"/>
      <c r="V10" s="103"/>
      <c r="W10" s="103"/>
      <c r="X10" s="103"/>
      <c r="Y10" s="103"/>
      <c r="Z10" s="103"/>
    </row>
    <row r="11" spans="1:26">
      <c r="A11" s="107">
        <v>10</v>
      </c>
      <c r="B11" s="162" cm="1">
        <f t="array" ref="B11" xml:space="preserve"> _xlfn.IFS(C11&lt;=S$2,T$2,C11&lt;=S$3,T$3,C11&gt;S$3,T$4)</f>
        <v>0</v>
      </c>
      <c r="C11" s="162">
        <f t="shared" si="0"/>
        <v>5</v>
      </c>
      <c r="D11" s="108" t="s">
        <v>95</v>
      </c>
      <c r="E11" s="108" t="s">
        <v>96</v>
      </c>
      <c r="F11" s="108" t="s">
        <v>95</v>
      </c>
      <c r="G11" s="108" t="s">
        <v>96</v>
      </c>
      <c r="H11" s="108" t="s">
        <v>95</v>
      </c>
      <c r="I11" s="108" t="s">
        <v>95</v>
      </c>
      <c r="J11" s="108" t="s">
        <v>95</v>
      </c>
      <c r="K11" s="108" t="s">
        <v>96</v>
      </c>
      <c r="L11" s="108" t="s">
        <v>96</v>
      </c>
      <c r="M11" s="108" t="s">
        <v>96</v>
      </c>
      <c r="N11" s="108" t="s">
        <v>96</v>
      </c>
      <c r="O11" s="108" t="s">
        <v>96</v>
      </c>
      <c r="P11" s="108" t="s">
        <v>96</v>
      </c>
      <c r="Q11" s="103"/>
      <c r="R11" s="103"/>
      <c r="S11" s="103"/>
      <c r="T11" s="103"/>
      <c r="U11" s="103"/>
      <c r="V11" s="103"/>
      <c r="W11" s="103"/>
      <c r="X11" s="103"/>
      <c r="Y11" s="103"/>
      <c r="Z11" s="103"/>
    </row>
    <row r="12" spans="1:26">
      <c r="A12" s="112">
        <v>11</v>
      </c>
      <c r="B12" s="162" cm="1">
        <f t="array" ref="B12" xml:space="preserve"> _xlfn.IFS(C12&lt;=S$2,T$2,C12&lt;=S$3,T$3,C12&gt;S$3,T$4)</f>
        <v>3</v>
      </c>
      <c r="C12" s="162">
        <f t="shared" si="0"/>
        <v>7</v>
      </c>
      <c r="D12" s="113" t="s">
        <v>95</v>
      </c>
      <c r="E12" s="113" t="s">
        <v>96</v>
      </c>
      <c r="F12" s="113" t="s">
        <v>95</v>
      </c>
      <c r="G12" s="113" t="s">
        <v>96</v>
      </c>
      <c r="H12" s="113" t="s">
        <v>95</v>
      </c>
      <c r="I12" s="113" t="s">
        <v>95</v>
      </c>
      <c r="J12" s="113" t="s">
        <v>95</v>
      </c>
      <c r="K12" s="113" t="s">
        <v>95</v>
      </c>
      <c r="L12" s="113" t="s">
        <v>96</v>
      </c>
      <c r="M12" s="113" t="s">
        <v>95</v>
      </c>
      <c r="N12" s="113" t="s">
        <v>96</v>
      </c>
      <c r="O12" s="113" t="s">
        <v>96</v>
      </c>
      <c r="P12" s="113" t="s">
        <v>96</v>
      </c>
      <c r="Q12" s="103"/>
      <c r="R12" s="103"/>
      <c r="S12" s="103"/>
      <c r="T12" s="103"/>
      <c r="U12" s="103"/>
      <c r="V12" s="103"/>
      <c r="W12" s="103"/>
      <c r="X12" s="103"/>
      <c r="Y12" s="103"/>
      <c r="Z12" s="103"/>
    </row>
    <row r="13" spans="1:26">
      <c r="A13" s="107">
        <v>12</v>
      </c>
      <c r="B13" s="162" cm="1">
        <f t="array" ref="B13" xml:space="preserve"> _xlfn.IFS(C13&lt;=S$2,T$2,C13&lt;=S$3,T$3,C13&gt;S$3,T$4)</f>
        <v>0</v>
      </c>
      <c r="C13" s="162">
        <f t="shared" si="0"/>
        <v>5</v>
      </c>
      <c r="D13" s="108" t="s">
        <v>95</v>
      </c>
      <c r="E13" s="108" t="s">
        <v>96</v>
      </c>
      <c r="F13" s="108" t="s">
        <v>95</v>
      </c>
      <c r="G13" s="108" t="s">
        <v>96</v>
      </c>
      <c r="H13" s="108" t="s">
        <v>95</v>
      </c>
      <c r="I13" s="108" t="s">
        <v>96</v>
      </c>
      <c r="J13" s="108" t="s">
        <v>95</v>
      </c>
      <c r="K13" s="108" t="s">
        <v>95</v>
      </c>
      <c r="L13" s="108" t="s">
        <v>96</v>
      </c>
      <c r="M13" s="108" t="s">
        <v>96</v>
      </c>
      <c r="N13" s="108" t="s">
        <v>96</v>
      </c>
      <c r="O13" s="108" t="s">
        <v>96</v>
      </c>
      <c r="P13" s="108" t="s">
        <v>96</v>
      </c>
      <c r="Q13" s="103"/>
      <c r="R13" s="103"/>
      <c r="S13" s="103"/>
      <c r="T13" s="103"/>
      <c r="V13" s="103"/>
      <c r="W13" s="103"/>
      <c r="X13" s="103"/>
      <c r="Y13" s="103"/>
      <c r="Z13" s="103"/>
    </row>
    <row r="14" spans="1:26">
      <c r="A14" s="112">
        <v>13</v>
      </c>
      <c r="B14" s="162" cm="1">
        <f t="array" ref="B14" xml:space="preserve"> _xlfn.IFS(C14&lt;=S$2,T$2,C14&lt;=S$3,T$3,C14&gt;S$3,T$4)</f>
        <v>0</v>
      </c>
      <c r="C14" s="162">
        <f t="shared" si="0"/>
        <v>5</v>
      </c>
      <c r="D14" s="113" t="s">
        <v>95</v>
      </c>
      <c r="E14" s="113" t="s">
        <v>96</v>
      </c>
      <c r="F14" s="113" t="s">
        <v>95</v>
      </c>
      <c r="G14" s="113" t="s">
        <v>96</v>
      </c>
      <c r="H14" s="113" t="s">
        <v>95</v>
      </c>
      <c r="I14" s="113" t="s">
        <v>95</v>
      </c>
      <c r="J14" s="113" t="s">
        <v>95</v>
      </c>
      <c r="K14" s="113" t="s">
        <v>96</v>
      </c>
      <c r="L14" s="113" t="s">
        <v>96</v>
      </c>
      <c r="M14" s="113" t="s">
        <v>96</v>
      </c>
      <c r="N14" s="113" t="s">
        <v>96</v>
      </c>
      <c r="O14" s="113" t="s">
        <v>96</v>
      </c>
      <c r="P14" s="113" t="s">
        <v>96</v>
      </c>
      <c r="Q14" s="103"/>
      <c r="R14" s="103"/>
      <c r="S14" s="103"/>
      <c r="T14" s="103"/>
      <c r="U14" s="103"/>
      <c r="V14" s="103"/>
      <c r="W14" s="103"/>
      <c r="X14" s="103"/>
      <c r="Y14" s="103"/>
      <c r="Z14" s="103"/>
    </row>
    <row r="15" spans="1:26">
      <c r="A15" s="107">
        <v>14</v>
      </c>
      <c r="B15" s="162" cm="1">
        <f t="array" ref="B15" xml:space="preserve"> _xlfn.IFS(C15&lt;=S$2,T$2,C15&lt;=S$3,T$3,C15&gt;S$3,T$4)</f>
        <v>3</v>
      </c>
      <c r="C15" s="162">
        <f t="shared" si="0"/>
        <v>7</v>
      </c>
      <c r="D15" s="108" t="s">
        <v>95</v>
      </c>
      <c r="E15" s="108" t="s">
        <v>96</v>
      </c>
      <c r="F15" s="108" t="s">
        <v>95</v>
      </c>
      <c r="G15" s="108" t="s">
        <v>96</v>
      </c>
      <c r="H15" s="108" t="s">
        <v>95</v>
      </c>
      <c r="I15" s="108" t="s">
        <v>95</v>
      </c>
      <c r="J15" s="108" t="s">
        <v>95</v>
      </c>
      <c r="K15" s="108" t="s">
        <v>95</v>
      </c>
      <c r="L15" s="108" t="s">
        <v>96</v>
      </c>
      <c r="M15" s="108" t="s">
        <v>95</v>
      </c>
      <c r="N15" s="108" t="s">
        <v>96</v>
      </c>
      <c r="O15" s="108" t="s">
        <v>96</v>
      </c>
      <c r="P15" s="108" t="s">
        <v>96</v>
      </c>
      <c r="Q15" s="103"/>
      <c r="R15" s="103"/>
      <c r="S15" s="103"/>
      <c r="T15" s="103"/>
      <c r="U15" s="103"/>
      <c r="V15" s="103"/>
      <c r="W15" s="103"/>
      <c r="X15" s="103"/>
      <c r="Y15" s="103"/>
      <c r="Z15" s="103"/>
    </row>
    <row r="16" spans="1:26">
      <c r="A16" s="112">
        <v>15</v>
      </c>
      <c r="B16" s="162" cm="1">
        <f t="array" ref="B16" xml:space="preserve"> _xlfn.IFS(C16&lt;=S$2,T$2,C16&lt;=S$3,T$3,C16&gt;S$3,T$4)</f>
        <v>0</v>
      </c>
      <c r="C16" s="162">
        <f t="shared" si="0"/>
        <v>5</v>
      </c>
      <c r="D16" s="113" t="s">
        <v>95</v>
      </c>
      <c r="E16" s="113" t="s">
        <v>96</v>
      </c>
      <c r="F16" s="113" t="s">
        <v>95</v>
      </c>
      <c r="G16" s="113" t="s">
        <v>96</v>
      </c>
      <c r="H16" s="113" t="s">
        <v>95</v>
      </c>
      <c r="I16" s="113" t="s">
        <v>95</v>
      </c>
      <c r="J16" s="113" t="s">
        <v>95</v>
      </c>
      <c r="K16" s="113" t="s">
        <v>96</v>
      </c>
      <c r="L16" s="113" t="s">
        <v>96</v>
      </c>
      <c r="M16" s="113" t="s">
        <v>96</v>
      </c>
      <c r="N16" s="113" t="s">
        <v>96</v>
      </c>
      <c r="O16" s="113" t="s">
        <v>96</v>
      </c>
      <c r="P16" s="113" t="s">
        <v>96</v>
      </c>
      <c r="Q16" s="103"/>
      <c r="R16" s="103"/>
      <c r="S16" s="103"/>
      <c r="T16" s="103"/>
      <c r="U16" s="103"/>
      <c r="V16" s="103"/>
      <c r="W16" s="103"/>
      <c r="X16" s="103"/>
      <c r="Y16" s="103"/>
      <c r="Z16" s="103"/>
    </row>
    <row r="17" spans="1:42">
      <c r="A17" s="107">
        <v>16</v>
      </c>
      <c r="B17" s="162" cm="1">
        <f t="array" ref="B17" xml:space="preserve"> _xlfn.IFS(C17&lt;=S$2,T$2,C17&lt;=S$3,T$3,C17&gt;S$3,T$4)</f>
        <v>0</v>
      </c>
      <c r="C17" s="162">
        <f t="shared" si="0"/>
        <v>6</v>
      </c>
      <c r="D17" s="108" t="s">
        <v>95</v>
      </c>
      <c r="E17" s="108" t="s">
        <v>95</v>
      </c>
      <c r="F17" s="108" t="s">
        <v>95</v>
      </c>
      <c r="G17" s="108" t="s">
        <v>96</v>
      </c>
      <c r="H17" s="108" t="s">
        <v>95</v>
      </c>
      <c r="I17" s="108" t="s">
        <v>95</v>
      </c>
      <c r="J17" s="108" t="s">
        <v>95</v>
      </c>
      <c r="K17" s="108" t="s">
        <v>96</v>
      </c>
      <c r="L17" s="108" t="s">
        <v>96</v>
      </c>
      <c r="M17" s="108" t="s">
        <v>96</v>
      </c>
      <c r="N17" s="108" t="s">
        <v>96</v>
      </c>
      <c r="O17" s="108" t="s">
        <v>96</v>
      </c>
      <c r="P17" s="108" t="s">
        <v>96</v>
      </c>
      <c r="Q17" s="103"/>
      <c r="R17" s="103"/>
      <c r="S17" s="103"/>
      <c r="T17" s="103"/>
      <c r="U17" s="103"/>
      <c r="V17" s="103"/>
      <c r="W17" s="103"/>
      <c r="X17" s="103"/>
      <c r="Y17" s="103"/>
      <c r="Z17" s="103"/>
    </row>
    <row r="18" spans="1:42">
      <c r="A18" s="112">
        <v>17</v>
      </c>
      <c r="B18" s="162" cm="1">
        <f t="array" ref="B18" xml:space="preserve"> _xlfn.IFS(C18&lt;=S$2,T$2,C18&lt;=S$3,T$3,C18&gt;S$3,T$4)</f>
        <v>0</v>
      </c>
      <c r="C18" s="162">
        <f t="shared" si="0"/>
        <v>4</v>
      </c>
      <c r="D18" s="113" t="s">
        <v>95</v>
      </c>
      <c r="E18" s="113" t="s">
        <v>96</v>
      </c>
      <c r="F18" s="113" t="s">
        <v>95</v>
      </c>
      <c r="G18" s="113" t="s">
        <v>96</v>
      </c>
      <c r="H18" s="113" t="s">
        <v>96</v>
      </c>
      <c r="I18" s="113" t="s">
        <v>95</v>
      </c>
      <c r="J18" s="113" t="s">
        <v>95</v>
      </c>
      <c r="K18" s="113" t="s">
        <v>96</v>
      </c>
      <c r="L18" s="113" t="s">
        <v>96</v>
      </c>
      <c r="M18" s="113" t="s">
        <v>96</v>
      </c>
      <c r="N18" s="113" t="s">
        <v>96</v>
      </c>
      <c r="O18" s="113" t="s">
        <v>96</v>
      </c>
      <c r="P18" s="113" t="s">
        <v>96</v>
      </c>
      <c r="Q18" s="103"/>
      <c r="R18" s="103"/>
      <c r="S18" s="103"/>
      <c r="T18" s="103"/>
      <c r="U18" s="103"/>
      <c r="V18" s="103"/>
      <c r="W18" s="103"/>
      <c r="X18" s="103"/>
      <c r="Y18" s="103"/>
      <c r="Z18" s="103"/>
    </row>
    <row r="19" spans="1:42">
      <c r="A19" s="107">
        <v>18</v>
      </c>
      <c r="B19" s="162" cm="1">
        <f t="array" ref="B19" xml:space="preserve"> _xlfn.IFS(C19&lt;=S$2,T$2,C19&lt;=S$3,T$3,C19&gt;S$3,T$4)</f>
        <v>0</v>
      </c>
      <c r="C19" s="162">
        <f t="shared" si="0"/>
        <v>4</v>
      </c>
      <c r="D19" s="108" t="s">
        <v>95</v>
      </c>
      <c r="E19" s="108" t="s">
        <v>96</v>
      </c>
      <c r="F19" s="108" t="s">
        <v>95</v>
      </c>
      <c r="G19" s="108" t="s">
        <v>96</v>
      </c>
      <c r="H19" s="108" t="s">
        <v>96</v>
      </c>
      <c r="I19" s="108" t="s">
        <v>95</v>
      </c>
      <c r="J19" s="108" t="s">
        <v>95</v>
      </c>
      <c r="K19" s="108" t="s">
        <v>96</v>
      </c>
      <c r="L19" s="108" t="s">
        <v>96</v>
      </c>
      <c r="M19" s="108" t="s">
        <v>96</v>
      </c>
      <c r="N19" s="108" t="s">
        <v>96</v>
      </c>
      <c r="O19" s="108" t="s">
        <v>96</v>
      </c>
      <c r="P19" s="108" t="s">
        <v>96</v>
      </c>
      <c r="Q19" s="103"/>
      <c r="R19" s="103"/>
      <c r="S19" s="103"/>
      <c r="T19" s="103"/>
      <c r="U19" s="103"/>
      <c r="V19" s="103"/>
      <c r="W19" s="103"/>
      <c r="X19" s="103"/>
      <c r="Y19" s="103"/>
      <c r="Z19" s="103"/>
    </row>
    <row r="20" spans="1:42">
      <c r="A20" s="112">
        <v>19</v>
      </c>
      <c r="B20" s="162" cm="1">
        <f t="array" ref="B20" xml:space="preserve"> _xlfn.IFS(C20&lt;=S$2,T$2,C20&lt;=S$3,T$3,C20&gt;S$3,T$4)</f>
        <v>3</v>
      </c>
      <c r="C20" s="162">
        <f t="shared" si="0"/>
        <v>7</v>
      </c>
      <c r="D20" s="113" t="s">
        <v>95</v>
      </c>
      <c r="E20" s="113" t="s">
        <v>96</v>
      </c>
      <c r="F20" s="113" t="s">
        <v>95</v>
      </c>
      <c r="G20" s="113" t="s">
        <v>95</v>
      </c>
      <c r="H20" s="113" t="s">
        <v>96</v>
      </c>
      <c r="I20" s="113" t="s">
        <v>95</v>
      </c>
      <c r="J20" s="113" t="s">
        <v>95</v>
      </c>
      <c r="K20" s="113" t="s">
        <v>95</v>
      </c>
      <c r="L20" s="113" t="s">
        <v>96</v>
      </c>
      <c r="M20" s="113" t="s">
        <v>95</v>
      </c>
      <c r="N20" s="113" t="s">
        <v>96</v>
      </c>
      <c r="O20" s="113" t="s">
        <v>96</v>
      </c>
      <c r="P20" s="113" t="s">
        <v>96</v>
      </c>
      <c r="Q20" s="103"/>
      <c r="R20" s="103"/>
      <c r="S20" s="103"/>
      <c r="T20" s="103"/>
      <c r="U20" s="103"/>
      <c r="V20" s="103"/>
      <c r="W20" s="103"/>
      <c r="X20" s="103"/>
      <c r="Y20" s="103"/>
      <c r="Z20" s="103"/>
    </row>
    <row r="21" spans="1:42">
      <c r="A21" s="107">
        <v>2021</v>
      </c>
      <c r="B21" s="162" cm="1">
        <f t="array" ref="B21" xml:space="preserve"> _xlfn.IFS(C21&lt;=S$2,T$2,C21&lt;=S$3,T$3,C21&gt;S$3,T$4)</f>
        <v>0</v>
      </c>
      <c r="C21" s="162">
        <f t="shared" si="0"/>
        <v>4</v>
      </c>
      <c r="D21" s="108" t="s">
        <v>95</v>
      </c>
      <c r="E21" s="108" t="s">
        <v>96</v>
      </c>
      <c r="F21" s="108" t="s">
        <v>95</v>
      </c>
      <c r="G21" s="108" t="s">
        <v>96</v>
      </c>
      <c r="H21" s="108" t="s">
        <v>96</v>
      </c>
      <c r="I21" s="108" t="s">
        <v>95</v>
      </c>
      <c r="J21" s="108" t="s">
        <v>95</v>
      </c>
      <c r="K21" s="108" t="s">
        <v>96</v>
      </c>
      <c r="L21" s="108" t="s">
        <v>96</v>
      </c>
      <c r="M21" s="113" t="s">
        <v>101</v>
      </c>
      <c r="N21" s="113" t="s">
        <v>101</v>
      </c>
      <c r="O21" s="113" t="s">
        <v>101</v>
      </c>
      <c r="P21" s="113" t="s">
        <v>101</v>
      </c>
      <c r="Q21" s="103"/>
      <c r="R21" s="103"/>
      <c r="S21" s="103"/>
      <c r="T21" s="103"/>
      <c r="U21" s="103"/>
      <c r="V21" s="103"/>
      <c r="W21" s="103"/>
      <c r="X21" s="103"/>
      <c r="Y21" s="103"/>
      <c r="Z21" s="103"/>
    </row>
    <row r="22" spans="1:42">
      <c r="A22" s="112">
        <v>22</v>
      </c>
      <c r="B22" s="162" cm="1">
        <f t="array" ref="B22" xml:space="preserve"> _xlfn.IFS(C22&lt;=S$2,T$2,C22&lt;=S$3,T$3,C22&gt;S$3,T$4)</f>
        <v>0</v>
      </c>
      <c r="C22" s="162">
        <f t="shared" si="0"/>
        <v>6</v>
      </c>
      <c r="D22" s="113" t="s">
        <v>95</v>
      </c>
      <c r="E22" s="113" t="s">
        <v>101</v>
      </c>
      <c r="F22" s="113" t="s">
        <v>95</v>
      </c>
      <c r="G22" s="113" t="s">
        <v>95</v>
      </c>
      <c r="H22" s="113" t="s">
        <v>95</v>
      </c>
      <c r="I22" s="113" t="s">
        <v>95</v>
      </c>
      <c r="J22" s="113" t="s">
        <v>95</v>
      </c>
      <c r="K22" s="113" t="s">
        <v>101</v>
      </c>
      <c r="L22" s="113" t="s">
        <v>101</v>
      </c>
      <c r="M22" s="113" t="s">
        <v>101</v>
      </c>
      <c r="N22" s="113" t="s">
        <v>101</v>
      </c>
      <c r="O22" s="113" t="s">
        <v>101</v>
      </c>
      <c r="P22" s="113" t="s">
        <v>101</v>
      </c>
      <c r="Q22" s="103"/>
      <c r="R22" s="103"/>
      <c r="S22" s="103"/>
      <c r="T22" s="103"/>
      <c r="U22" s="103"/>
      <c r="V22" s="103"/>
      <c r="W22" s="103"/>
      <c r="X22" s="103"/>
      <c r="Y22" s="103"/>
      <c r="Z22" s="103"/>
    </row>
    <row r="23" spans="1:42">
      <c r="A23" s="103"/>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row>
    <row r="24" spans="1:42">
      <c r="A24" s="103"/>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row>
    <row r="25" spans="1:42">
      <c r="A25" s="103"/>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row>
    <row r="26" spans="1:42">
      <c r="A26" s="103"/>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row>
    <row r="27" spans="1:42">
      <c r="A27" s="103"/>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row>
    <row r="28" spans="1:42">
      <c r="A28" s="103"/>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row>
    <row r="29" spans="1:42">
      <c r="A29" s="103"/>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row>
    <row r="30" spans="1:42">
      <c r="A30" s="103"/>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row>
    <row r="31" spans="1:42">
      <c r="A31" s="103"/>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row>
    <row r="32" spans="1:42">
      <c r="A32" s="103"/>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row>
    <row r="33" spans="1:42">
      <c r="A33" s="103"/>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row>
    <row r="34" spans="1:42">
      <c r="A34" s="103"/>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row>
    <row r="35" spans="1:42">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row>
    <row r="36" spans="1:42">
      <c r="A36" s="103"/>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row>
    <row r="37" spans="1:42">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row>
    <row r="38" spans="1:42">
      <c r="A38" s="103"/>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row>
    <row r="39" spans="1:42">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row>
    <row r="40" spans="1:42">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row>
    <row r="41" spans="1:42">
      <c r="A41" s="103"/>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row>
    <row r="42" spans="1:42">
      <c r="A42" s="103"/>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row>
    <row r="43" spans="1:42">
      <c r="A43" s="10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row>
    <row r="44" spans="1:42">
      <c r="A44" s="103"/>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row>
    <row r="45" spans="1:42">
      <c r="A45" s="103"/>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row>
    <row r="46" spans="1:42">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row>
    <row r="47" spans="1:42">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row>
    <row r="48" spans="1:42">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row>
    <row r="49" spans="1:42">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row>
    <row r="50" spans="1:42">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row>
    <row r="51" spans="1:42">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row>
    <row r="52" spans="1:42">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row>
    <row r="53" spans="1:42">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row>
    <row r="54" spans="1:42">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row>
    <row r="55" spans="1:42">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row>
    <row r="56" spans="1:42">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row>
    <row r="57" spans="1:42">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row>
    <row r="58" spans="1:42">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row>
    <row r="59" spans="1:42">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row>
    <row r="60" spans="1:42">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row>
    <row r="61" spans="1:42">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row>
    <row r="62" spans="1:42">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row>
    <row r="63" spans="1:42">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row>
    <row r="64" spans="1:42">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row>
    <row r="65" spans="1:42">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row>
    <row r="66" spans="1:42">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row>
    <row r="67" spans="1:42">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row>
    <row r="68" spans="1:42">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row>
    <row r="69" spans="1:42">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row>
    <row r="70" spans="1:42">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row>
    <row r="71" spans="1:42">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row>
    <row r="72" spans="1:42">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row>
    <row r="73" spans="1:42">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row>
    <row r="74" spans="1:42">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row>
    <row r="75" spans="1:42">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row>
    <row r="76" spans="1:42">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row>
    <row r="77" spans="1:42">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row>
    <row r="78" spans="1:42">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row>
    <row r="79" spans="1:42">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row>
    <row r="80" spans="1:42">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row>
    <row r="81" spans="1:42">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row>
    <row r="82" spans="1:42">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row>
    <row r="83" spans="1:42">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row>
    <row r="84" spans="1:42">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row>
    <row r="85" spans="1:42">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row>
    <row r="86" spans="1:42">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row>
    <row r="87" spans="1:42">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row>
    <row r="88" spans="1:42">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row>
    <row r="89" spans="1:42">
      <c r="A89" s="103"/>
    </row>
    <row r="90" spans="1:42">
      <c r="A90" s="103"/>
    </row>
    <row r="91" spans="1:42">
      <c r="A91" s="103"/>
    </row>
    <row r="92" spans="1:42">
      <c r="A92" s="103"/>
    </row>
    <row r="93" spans="1:42">
      <c r="A93" s="103"/>
    </row>
    <row r="94" spans="1:42">
      <c r="A94" s="103"/>
    </row>
    <row r="95" spans="1:42">
      <c r="A95" s="103"/>
    </row>
    <row r="96" spans="1:42">
      <c r="A96" s="103"/>
    </row>
    <row r="97" spans="1:1">
      <c r="A97" s="103"/>
    </row>
    <row r="98" spans="1:1">
      <c r="A98" s="103"/>
    </row>
    <row r="99" spans="1:1">
      <c r="A99" s="103"/>
    </row>
    <row r="100" spans="1:1">
      <c r="A100" s="103"/>
    </row>
    <row r="101" spans="1:1">
      <c r="A101" s="103"/>
    </row>
    <row r="102" spans="1:1">
      <c r="A102" s="103"/>
    </row>
    <row r="103" spans="1:1">
      <c r="A103" s="103"/>
    </row>
    <row r="104" spans="1:1">
      <c r="A104" s="103"/>
    </row>
    <row r="105" spans="1:1">
      <c r="A105" s="103"/>
    </row>
    <row r="106" spans="1:1">
      <c r="A106" s="103"/>
    </row>
    <row r="107" spans="1:1">
      <c r="A107" s="103"/>
    </row>
    <row r="108" spans="1:1">
      <c r="A108" s="103"/>
    </row>
    <row r="109" spans="1:1">
      <c r="A109" s="103"/>
    </row>
    <row r="110" spans="1:1">
      <c r="A110" s="103"/>
    </row>
    <row r="111" spans="1:1">
      <c r="A111" s="103"/>
    </row>
    <row r="112" spans="1:1">
      <c r="A112" s="103"/>
    </row>
    <row r="113" spans="1:1">
      <c r="A113" s="103"/>
    </row>
    <row r="114" spans="1:1">
      <c r="A114" s="103"/>
    </row>
    <row r="115" spans="1:1">
      <c r="A115" s="103"/>
    </row>
    <row r="116" spans="1:1">
      <c r="A116" s="103"/>
    </row>
    <row r="117" spans="1:1">
      <c r="A117" s="103"/>
    </row>
    <row r="118" spans="1:1">
      <c r="A118" s="103"/>
    </row>
    <row r="119" spans="1:1">
      <c r="A119" s="103"/>
    </row>
    <row r="120" spans="1:1">
      <c r="A120" s="103"/>
    </row>
    <row r="121" spans="1:1">
      <c r="A121" s="103"/>
    </row>
  </sheetData>
  <autoFilter ref="A1:M22" xr:uid="{0FC01D53-5DB3-43B9-A31D-E2B75FA1B01D}"/>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listasuspensa!$A$1:$A$2</xm:f>
          </x14:formula1>
          <xm:sqref>D2:P22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L87"/>
  <sheetViews>
    <sheetView showGridLines="0" zoomScale="145" zoomScaleNormal="145" zoomScaleSheetLayoutView="75" workbookViewId="0">
      <pane xSplit="1" ySplit="1" topLeftCell="B2" activePane="bottomRight" state="frozen"/>
      <selection pane="topRight" activeCell="B1" sqref="B1"/>
      <selection pane="bottomLeft" activeCell="A2" sqref="A2"/>
      <selection pane="bottomRight" activeCell="G10" sqref="G10"/>
    </sheetView>
  </sheetViews>
  <sheetFormatPr defaultColWidth="9.109375" defaultRowHeight="12.6"/>
  <cols>
    <col min="1" max="1" width="9.6640625" style="87" customWidth="1"/>
    <col min="2" max="2" width="20.6640625" style="87" customWidth="1"/>
    <col min="3" max="3" width="15.109375" style="87" customWidth="1"/>
    <col min="4" max="4" width="15.6640625" style="87" customWidth="1"/>
    <col min="5" max="5" width="16.33203125" style="87" customWidth="1"/>
    <col min="6" max="6" width="16.6640625" style="87" bestFit="1" customWidth="1"/>
    <col min="7" max="7" width="11.6640625" style="79" customWidth="1"/>
    <col min="8" max="8" width="15" style="79" customWidth="1"/>
    <col min="9" max="9" width="16.33203125" style="87" customWidth="1"/>
    <col min="10" max="16384" width="9.109375" style="87"/>
  </cols>
  <sheetData>
    <row r="1" spans="1:12" s="79" customFormat="1" ht="63">
      <c r="A1" s="217" t="s">
        <v>43</v>
      </c>
      <c r="B1" s="185" t="s">
        <v>102</v>
      </c>
      <c r="C1" s="218" t="s">
        <v>103</v>
      </c>
      <c r="D1" s="286" t="s">
        <v>104</v>
      </c>
      <c r="E1" s="287" t="s">
        <v>105</v>
      </c>
      <c r="F1" s="230" t="s">
        <v>106</v>
      </c>
      <c r="G1" s="184" t="s">
        <v>107</v>
      </c>
      <c r="H1" s="184" t="s">
        <v>108</v>
      </c>
      <c r="I1" s="183" t="s">
        <v>109</v>
      </c>
    </row>
    <row r="2" spans="1:12" s="79" customFormat="1" ht="20.25" customHeight="1">
      <c r="A2" s="219">
        <v>1</v>
      </c>
      <c r="B2" s="220" t="str">
        <f>VLOOKUP(A2,'Potencial Arrecadação Cobrança'!$J$2:$L$22,3,FALSE)</f>
        <v xml:space="preserve">Faixa 1 </v>
      </c>
      <c r="C2" s="221">
        <f>VLOOKUP(Tabela6[[#This Row],[UGRHI]],Gestao[[UGRHI]:[Indicador 3
Gestão
(Pontuação)]],2,FALSE)</f>
        <v>6</v>
      </c>
      <c r="D2" s="221">
        <f>VLOOKUP(Tabela6[[#This Row],[UGRHI]],Capacitação!$A$2:$B$22,2,FALSE)</f>
        <v>0</v>
      </c>
      <c r="E2" s="221">
        <f>VLOOKUP(Tabela6[[#This Row],[UGRHI]],'Transparência SIGRH'!$A$2:$B$22, 2, FALSE)</f>
        <v>0</v>
      </c>
      <c r="F2" s="221">
        <f>VLOOKUP(Tabela6[[#This Row],[UGRHI]],Tabela5[[UGRHi]:[Indicador 1
Utilização de Recursos FEHIDRO
(Pontuação)]],2,FALSE)</f>
        <v>10</v>
      </c>
      <c r="G2" s="222">
        <f t="shared" ref="G2:G22" si="0">(SUM(C2:F2))</f>
        <v>16</v>
      </c>
      <c r="H2" s="223">
        <f t="shared" ref="H2:H22" si="1">G2/
SUMIF($B$2:$B$22,B2,$G$2:$G$22)</f>
        <v>0.17777777777777778</v>
      </c>
      <c r="I2" s="224">
        <f>$H2* ( INDEX('Potencial Arrecadação Cobrança'!$E$2:$E$6, MATCH(Rateio!B2,'Potencial Arrecadação Cobrança'!$C$2:$C$6,0)))</f>
        <v>1246255.1111111112</v>
      </c>
    </row>
    <row r="3" spans="1:12" ht="20.25" customHeight="1">
      <c r="A3" s="219">
        <v>2</v>
      </c>
      <c r="B3" s="220" t="str">
        <f>VLOOKUP(A3,'Potencial Arrecadação Cobrança'!$J$2:$L$22,3,FALSE)</f>
        <v xml:space="preserve">Faixa 4  </v>
      </c>
      <c r="C3" s="221">
        <f>VLOOKUP(Tabela6[[#This Row],[UGRHI]],Gestao[[UGRHI]:[Indicador 3
Gestão
(Pontuação)]],2,FALSE)</f>
        <v>3</v>
      </c>
      <c r="D3" s="221">
        <f>VLOOKUP(Tabela6[[#This Row],[UGRHI]],Capacitação!$A$2:$B$22,2,FALSE)</f>
        <v>0</v>
      </c>
      <c r="E3" s="221">
        <f>VLOOKUP(Tabela6[[#This Row],[UGRHI]],'Transparência SIGRH'!$A$2:$B$22, 2, FALSE)</f>
        <v>0</v>
      </c>
      <c r="F3" s="221">
        <f>VLOOKUP(Tabela6[[#This Row],[UGRHI]],Tabela5[[UGRHi]:[Indicador 1
Utilização de Recursos FEHIDRO
(Pontuação)]],2,FALSE)</f>
        <v>10</v>
      </c>
      <c r="G3" s="222">
        <f t="shared" si="0"/>
        <v>13</v>
      </c>
      <c r="H3" s="223">
        <f t="shared" si="1"/>
        <v>0.29545454545454547</v>
      </c>
      <c r="I3" s="224">
        <f>$H3* ( INDEX('Potencial Arrecadação Cobrança'!$E$2:$E$6, MATCH(Rateio!B3,'Potencial Arrecadação Cobrança'!$C$2:$C$6,0)))</f>
        <v>379232.15909090912</v>
      </c>
      <c r="L3" s="79"/>
    </row>
    <row r="4" spans="1:12" ht="20.25" customHeight="1">
      <c r="A4" s="219">
        <v>3</v>
      </c>
      <c r="B4" s="220" t="str">
        <f>VLOOKUP(A4,'Potencial Arrecadação Cobrança'!$J$2:$L$22,3,FALSE)</f>
        <v xml:space="preserve">Faixa 1 </v>
      </c>
      <c r="C4" s="221">
        <f>VLOOKUP(Tabela6[[#This Row],[UGRHI]],Gestao[[UGRHI]:[Indicador 3
Gestão
(Pontuação)]],2,FALSE)</f>
        <v>10</v>
      </c>
      <c r="D4" s="221">
        <f>VLOOKUP(Tabela6[[#This Row],[UGRHI]],Capacitação!$A$2:$B$22,2,FALSE)</f>
        <v>0</v>
      </c>
      <c r="E4" s="221">
        <f>VLOOKUP(Tabela6[[#This Row],[UGRHI]],'Transparência SIGRH'!$A$2:$B$22, 2, FALSE)</f>
        <v>3</v>
      </c>
      <c r="F4" s="221">
        <f>VLOOKUP(Tabela6[[#This Row],[UGRHI]],Tabela5[[UGRHi]:[Indicador 1
Utilização de Recursos FEHIDRO
(Pontuação)]],2,FALSE)</f>
        <v>10</v>
      </c>
      <c r="G4" s="222">
        <f t="shared" si="0"/>
        <v>23</v>
      </c>
      <c r="H4" s="223">
        <f t="shared" si="1"/>
        <v>0.25555555555555554</v>
      </c>
      <c r="I4" s="224">
        <f>$H4* ( INDEX('Potencial Arrecadação Cobrança'!$E$2:$E$6, MATCH(Rateio!B4,'Potencial Arrecadação Cobrança'!$C$2:$C$6,0)))</f>
        <v>1791491.722222222</v>
      </c>
      <c r="L4" s="79"/>
    </row>
    <row r="5" spans="1:12" ht="20.25" customHeight="1">
      <c r="A5" s="219">
        <v>4</v>
      </c>
      <c r="B5" s="220" t="str">
        <f>VLOOKUP(A5,'Potencial Arrecadação Cobrança'!$J$2:$L$22,3,FALSE)</f>
        <v xml:space="preserve">Faixa 2 </v>
      </c>
      <c r="C5" s="221">
        <f>VLOOKUP(Tabela6[[#This Row],[UGRHI]],Gestao[[UGRHI]:[Indicador 3
Gestão
(Pontuação)]],2,FALSE)</f>
        <v>10</v>
      </c>
      <c r="D5" s="221">
        <f>VLOOKUP(Tabela6[[#This Row],[UGRHI]],Capacitação!$A$2:$B$22,2,FALSE)</f>
        <v>0</v>
      </c>
      <c r="E5" s="221">
        <f>VLOOKUP(Tabela6[[#This Row],[UGRHI]],'Transparência SIGRH'!$A$2:$B$22, 2, FALSE)</f>
        <v>3</v>
      </c>
      <c r="F5" s="221">
        <f>VLOOKUP(Tabela6[[#This Row],[UGRHI]],Tabela5[[UGRHi]:[Indicador 1
Utilização de Recursos FEHIDRO
(Pontuação)]],2,FALSE)</f>
        <v>14</v>
      </c>
      <c r="G5" s="222">
        <f t="shared" si="0"/>
        <v>27</v>
      </c>
      <c r="H5" s="223">
        <f t="shared" si="1"/>
        <v>0.26213592233009708</v>
      </c>
      <c r="I5" s="224">
        <f>$H5* ( INDEX('Potencial Arrecadação Cobrança'!$E$2:$E$6, MATCH(Rateio!B5,'Potencial Arrecadação Cobrança'!$C$2:$C$6,0)))</f>
        <v>1578801.4077669904</v>
      </c>
      <c r="L5" s="79"/>
    </row>
    <row r="6" spans="1:12" ht="20.25" customHeight="1">
      <c r="A6" s="219">
        <v>5</v>
      </c>
      <c r="B6" s="220" t="str">
        <f>VLOOKUP(A6,'Potencial Arrecadação Cobrança'!$J$2:$L$22,3,FALSE)</f>
        <v xml:space="preserve">Faixa 4  </v>
      </c>
      <c r="C6" s="221">
        <f>VLOOKUP(Tabela6[[#This Row],[UGRHI]],Gestao[[UGRHI]:[Indicador 3
Gestão
(Pontuação)]],2,FALSE)</f>
        <v>8</v>
      </c>
      <c r="D6" s="221">
        <f>VLOOKUP(Tabela6[[#This Row],[UGRHI]],Capacitação!$A$2:$B$22,2,FALSE)</f>
        <v>0</v>
      </c>
      <c r="E6" s="221">
        <f>VLOOKUP(Tabela6[[#This Row],[UGRHI]],'Transparência SIGRH'!$A$2:$B$22, 2, FALSE)</f>
        <v>3</v>
      </c>
      <c r="F6" s="221">
        <f>VLOOKUP(Tabela6[[#This Row],[UGRHI]],Tabela5[[UGRHi]:[Indicador 1
Utilização de Recursos FEHIDRO
(Pontuação)]],2,FALSE)</f>
        <v>20</v>
      </c>
      <c r="G6" s="222">
        <f t="shared" si="0"/>
        <v>31</v>
      </c>
      <c r="H6" s="223">
        <f t="shared" si="1"/>
        <v>0.70454545454545459</v>
      </c>
      <c r="I6" s="224">
        <f>$H6* ( INDEX('Potencial Arrecadação Cobrança'!$E$2:$E$6, MATCH(Rateio!B6,'Potencial Arrecadação Cobrança'!$C$2:$C$6,0)))</f>
        <v>904322.84090909094</v>
      </c>
      <c r="L6" s="79"/>
    </row>
    <row r="7" spans="1:12" ht="20.25" customHeight="1">
      <c r="A7" s="219">
        <v>6</v>
      </c>
      <c r="B7" s="220" t="str">
        <f>VLOOKUP(A7,'Potencial Arrecadação Cobrança'!$J$2:$L$22,3,FALSE)</f>
        <v xml:space="preserve">Faixa 5 </v>
      </c>
      <c r="C7" s="221">
        <f>VLOOKUP(Tabela6[[#This Row],[UGRHI]],Gestao[[UGRHI]:[Indicador 3
Gestão
(Pontuação)]],2,FALSE)</f>
        <v>10</v>
      </c>
      <c r="D7" s="221">
        <f>VLOOKUP(Tabela6[[#This Row],[UGRHI]],Capacitação!$A$2:$B$22,2,FALSE)</f>
        <v>0</v>
      </c>
      <c r="E7" s="221">
        <f>VLOOKUP(Tabela6[[#This Row],[UGRHI]],'Transparência SIGRH'!$A$2:$B$22, 2, FALSE)</f>
        <v>3</v>
      </c>
      <c r="F7" s="221">
        <f>VLOOKUP(Tabela6[[#This Row],[UGRHI]],Tabela5[[UGRHi]:[Indicador 1
Utilização de Recursos FEHIDRO
(Pontuação)]],2,FALSE)</f>
        <v>4</v>
      </c>
      <c r="G7" s="222">
        <f t="shared" si="0"/>
        <v>17</v>
      </c>
      <c r="H7" s="223">
        <f t="shared" si="1"/>
        <v>1</v>
      </c>
      <c r="I7" s="224">
        <f>$H7* ( INDEX('Potencial Arrecadação Cobrança'!$E$2:$E$6, MATCH(Rateio!B7,'Potencial Arrecadação Cobrança'!$C$2:$C$6,0)))</f>
        <v>493675</v>
      </c>
      <c r="L7" s="79"/>
    </row>
    <row r="8" spans="1:12" ht="20.25" customHeight="1">
      <c r="A8" s="219">
        <v>7</v>
      </c>
      <c r="B8" s="220" t="str">
        <f>VLOOKUP(A8,'Potencial Arrecadação Cobrança'!$J$2:$L$22,3,FALSE)</f>
        <v xml:space="preserve">Faixa 3 </v>
      </c>
      <c r="C8" s="221">
        <f>VLOOKUP(Tabela6[[#This Row],[UGRHI]],Gestao[[UGRHI]:[Indicador 3
Gestão
(Pontuação)]],2,FALSE)</f>
        <v>5</v>
      </c>
      <c r="D8" s="221">
        <f>VLOOKUP(Tabela6[[#This Row],[UGRHI]],Capacitação!$A$2:$B$22,2,FALSE)</f>
        <v>0</v>
      </c>
      <c r="E8" s="221">
        <f>VLOOKUP(Tabela6[[#This Row],[UGRHI]],'Transparência SIGRH'!$A$2:$B$22, 2, FALSE)</f>
        <v>3</v>
      </c>
      <c r="F8" s="221">
        <f>VLOOKUP(Tabela6[[#This Row],[UGRHI]],Tabela5[[UGRHi]:[Indicador 1
Utilização de Recursos FEHIDRO
(Pontuação)]],2,FALSE)</f>
        <v>0</v>
      </c>
      <c r="G8" s="222">
        <f t="shared" si="0"/>
        <v>8</v>
      </c>
      <c r="H8" s="223">
        <f t="shared" si="1"/>
        <v>6.7796610169491525E-2</v>
      </c>
      <c r="I8" s="224">
        <f>$H8* ( INDEX('Potencial Arrecadação Cobrança'!$E$2:$E$6, MATCH(Rateio!B8,'Potencial Arrecadação Cobrança'!$C$2:$C$6,0)))</f>
        <v>334694.9152542373</v>
      </c>
      <c r="L8" s="79"/>
    </row>
    <row r="9" spans="1:12" ht="20.25" customHeight="1">
      <c r="A9" s="219">
        <v>8</v>
      </c>
      <c r="B9" s="220" t="str">
        <f>VLOOKUP(A9,'Potencial Arrecadação Cobrança'!$J$2:$L$22,3,FALSE)</f>
        <v xml:space="preserve">Faixa 1 </v>
      </c>
      <c r="C9" s="221">
        <f>VLOOKUP(Tabela6[[#This Row],[UGRHI]],Gestao[[UGRHI]:[Indicador 3
Gestão
(Pontuação)]],2,FALSE)</f>
        <v>10</v>
      </c>
      <c r="D9" s="221">
        <f>VLOOKUP(Tabela6[[#This Row],[UGRHI]],Capacitação!$A$2:$B$22,2,FALSE)</f>
        <v>0</v>
      </c>
      <c r="E9" s="221">
        <f>VLOOKUP(Tabela6[[#This Row],[UGRHI]],'Transparência SIGRH'!$A$2:$B$22, 2, FALSE)</f>
        <v>3</v>
      </c>
      <c r="F9" s="221">
        <f>VLOOKUP(Tabela6[[#This Row],[UGRHI]],Tabela5[[UGRHi]:[Indicador 1
Utilização de Recursos FEHIDRO
(Pontuação)]],2,FALSE)</f>
        <v>0</v>
      </c>
      <c r="G9" s="222">
        <f t="shared" si="0"/>
        <v>13</v>
      </c>
      <c r="H9" s="223">
        <f t="shared" si="1"/>
        <v>0.14444444444444443</v>
      </c>
      <c r="I9" s="224">
        <f>$H9* ( INDEX('Potencial Arrecadação Cobrança'!$E$2:$E$6, MATCH(Rateio!B9,'Potencial Arrecadação Cobrança'!$C$2:$C$6,0)))</f>
        <v>1012582.2777777776</v>
      </c>
      <c r="L9" s="79"/>
    </row>
    <row r="10" spans="1:12" ht="20.25" customHeight="1">
      <c r="A10" s="219">
        <v>9</v>
      </c>
      <c r="B10" s="220" t="str">
        <f>VLOOKUP(A10,'Potencial Arrecadação Cobrança'!$J$2:$L$22,3,FALSE)</f>
        <v xml:space="preserve">Faixa 3 </v>
      </c>
      <c r="C10" s="221">
        <f>VLOOKUP(Tabela6[[#This Row],[UGRHI]],Gestao[[UGRHI]:[Indicador 3
Gestão
(Pontuação)]],2,FALSE)</f>
        <v>10</v>
      </c>
      <c r="D10" s="221">
        <f>VLOOKUP(Tabela6[[#This Row],[UGRHI]],Capacitação!$A$2:$B$22,2,FALSE)</f>
        <v>0</v>
      </c>
      <c r="E10" s="221">
        <f>VLOOKUP(Tabela6[[#This Row],[UGRHI]],'Transparência SIGRH'!$A$2:$B$22, 2, FALSE)</f>
        <v>0</v>
      </c>
      <c r="F10" s="221">
        <f>VLOOKUP(Tabela6[[#This Row],[UGRHI]],Tabela5[[UGRHi]:[Indicador 1
Utilização de Recursos FEHIDRO
(Pontuação)]],2,FALSE)</f>
        <v>10</v>
      </c>
      <c r="G10" s="222">
        <f t="shared" si="0"/>
        <v>20</v>
      </c>
      <c r="H10" s="223">
        <f t="shared" si="1"/>
        <v>0.16949152542372881</v>
      </c>
      <c r="I10" s="224">
        <f>$H10* ( INDEX('Potencial Arrecadação Cobrança'!$E$2:$E$6, MATCH(Rateio!B10,'Potencial Arrecadação Cobrança'!$C$2:$C$6,0)))</f>
        <v>836737.28813559317</v>
      </c>
      <c r="L10" s="79"/>
    </row>
    <row r="11" spans="1:12" ht="20.25" customHeight="1">
      <c r="A11" s="219">
        <v>10</v>
      </c>
      <c r="B11" s="220" t="str">
        <f>VLOOKUP(A11,'Potencial Arrecadação Cobrança'!$J$2:$L$22,3,FALSE)</f>
        <v xml:space="preserve">Faixa 3 </v>
      </c>
      <c r="C11" s="221">
        <f>VLOOKUP(Tabela6[[#This Row],[UGRHI]],Gestao[[UGRHI]:[Indicador 3
Gestão
(Pontuação)]],2,FALSE)</f>
        <v>10</v>
      </c>
      <c r="D11" s="221">
        <f>VLOOKUP(Tabela6[[#This Row],[UGRHI]],Capacitação!$A$2:$B$22,2,FALSE)</f>
        <v>0</v>
      </c>
      <c r="E11" s="221">
        <f>VLOOKUP(Tabela6[[#This Row],[UGRHI]],'Transparência SIGRH'!$A$2:$B$22, 2, FALSE)</f>
        <v>0</v>
      </c>
      <c r="F11" s="221">
        <f>VLOOKUP(Tabela6[[#This Row],[UGRHI]],Tabela5[[UGRHi]:[Indicador 1
Utilização de Recursos FEHIDRO
(Pontuação)]],2,FALSE)</f>
        <v>18</v>
      </c>
      <c r="G11" s="222">
        <f t="shared" si="0"/>
        <v>28</v>
      </c>
      <c r="H11" s="223">
        <f t="shared" si="1"/>
        <v>0.23728813559322035</v>
      </c>
      <c r="I11" s="224">
        <f>$H11* ( INDEX('Potencial Arrecadação Cobrança'!$E$2:$E$6, MATCH(Rateio!B11,'Potencial Arrecadação Cobrança'!$C$2:$C$6,0)))</f>
        <v>1171432.2033898307</v>
      </c>
      <c r="L11" s="79"/>
    </row>
    <row r="12" spans="1:12" ht="20.25" customHeight="1">
      <c r="A12" s="219">
        <v>11</v>
      </c>
      <c r="B12" s="220" t="str">
        <f>VLOOKUP(A12,'Potencial Arrecadação Cobrança'!$J$2:$L$22,3,FALSE)</f>
        <v xml:space="preserve">Faixa 3 </v>
      </c>
      <c r="C12" s="221">
        <f>VLOOKUP(Tabela6[[#This Row],[UGRHI]],Gestao[[UGRHI]:[Indicador 3
Gestão
(Pontuação)]],2,FALSE)</f>
        <v>10</v>
      </c>
      <c r="D12" s="221">
        <f>VLOOKUP(Tabela6[[#This Row],[UGRHI]],Capacitação!$A$2:$B$22,2,FALSE)</f>
        <v>0</v>
      </c>
      <c r="E12" s="221">
        <f>VLOOKUP(Tabela6[[#This Row],[UGRHI]],'Transparência SIGRH'!$A$2:$B$22, 2, FALSE)</f>
        <v>3</v>
      </c>
      <c r="F12" s="221">
        <f>VLOOKUP(Tabela6[[#This Row],[UGRHI]],Tabela5[[UGRHi]:[Indicador 1
Utilização de Recursos FEHIDRO
(Pontuação)]],2,FALSE)</f>
        <v>10</v>
      </c>
      <c r="G12" s="222">
        <f t="shared" si="0"/>
        <v>23</v>
      </c>
      <c r="H12" s="223">
        <f t="shared" si="1"/>
        <v>0.19491525423728814</v>
      </c>
      <c r="I12" s="224">
        <f>$H12* ( INDEX('Potencial Arrecadação Cobrança'!$E$2:$E$6, MATCH(Rateio!B12,'Potencial Arrecadação Cobrança'!$C$2:$C$6,0)))</f>
        <v>962247.88135593222</v>
      </c>
      <c r="L12" s="79"/>
    </row>
    <row r="13" spans="1:12" ht="20.25" customHeight="1">
      <c r="A13" s="219">
        <v>12</v>
      </c>
      <c r="B13" s="220" t="str">
        <f>VLOOKUP(A13,'Potencial Arrecadação Cobrança'!$J$2:$L$22,3,FALSE)</f>
        <v xml:space="preserve">Faixa 2 </v>
      </c>
      <c r="C13" s="221">
        <f>VLOOKUP(Tabela6[[#This Row],[UGRHI]],Gestao[[UGRHI]:[Indicador 3
Gestão
(Pontuação)]],2,FALSE)</f>
        <v>6</v>
      </c>
      <c r="D13" s="221">
        <f>VLOOKUP(Tabela6[[#This Row],[UGRHI]],Capacitação!$A$2:$B$22,2,FALSE)</f>
        <v>0</v>
      </c>
      <c r="E13" s="221">
        <f>VLOOKUP(Tabela6[[#This Row],[UGRHI]],'Transparência SIGRH'!$A$2:$B$22, 2, FALSE)</f>
        <v>0</v>
      </c>
      <c r="F13" s="221">
        <f>VLOOKUP(Tabela6[[#This Row],[UGRHI]],Tabela5[[UGRHi]:[Indicador 1
Utilização de Recursos FEHIDRO
(Pontuação)]],2,FALSE)</f>
        <v>16</v>
      </c>
      <c r="G13" s="222">
        <f t="shared" si="0"/>
        <v>22</v>
      </c>
      <c r="H13" s="223">
        <f t="shared" si="1"/>
        <v>0.21359223300970873</v>
      </c>
      <c r="I13" s="224">
        <f>$H13* ( INDEX('Potencial Arrecadação Cobrança'!$E$2:$E$6, MATCH(Rateio!B13,'Potencial Arrecadação Cobrança'!$C$2:$C$6,0)))</f>
        <v>1286430.7766990291</v>
      </c>
      <c r="L13" s="79"/>
    </row>
    <row r="14" spans="1:12" ht="20.25" customHeight="1">
      <c r="A14" s="219">
        <v>13</v>
      </c>
      <c r="B14" s="220" t="str">
        <f>VLOOKUP(A14,'Potencial Arrecadação Cobrança'!$J$2:$L$22,3,FALSE)</f>
        <v xml:space="preserve">Faixa 3 </v>
      </c>
      <c r="C14" s="221">
        <f>VLOOKUP(Tabela6[[#This Row],[UGRHI]],Gestao[[UGRHI]:[Indicador 3
Gestão
(Pontuação)]],2,FALSE)</f>
        <v>10</v>
      </c>
      <c r="D14" s="221">
        <f>VLOOKUP(Tabela6[[#This Row],[UGRHI]],Capacitação!$A$2:$B$22,2,FALSE)</f>
        <v>0</v>
      </c>
      <c r="E14" s="221">
        <f>VLOOKUP(Tabela6[[#This Row],[UGRHI]],'Transparência SIGRH'!$A$2:$B$22, 2, FALSE)</f>
        <v>0</v>
      </c>
      <c r="F14" s="221">
        <f>VLOOKUP(Tabela6[[#This Row],[UGRHI]],Tabela5[[UGRHi]:[Indicador 1
Utilização de Recursos FEHIDRO
(Pontuação)]],2,FALSE)</f>
        <v>8</v>
      </c>
      <c r="G14" s="222">
        <f t="shared" si="0"/>
        <v>18</v>
      </c>
      <c r="H14" s="223">
        <f t="shared" si="1"/>
        <v>0.15254237288135594</v>
      </c>
      <c r="I14" s="224">
        <f>$H14* ( INDEX('Potencial Arrecadação Cobrança'!$E$2:$E$6, MATCH(Rateio!B14,'Potencial Arrecadação Cobrança'!$C$2:$C$6,0)))</f>
        <v>753063.55932203389</v>
      </c>
      <c r="L14" s="79"/>
    </row>
    <row r="15" spans="1:12" ht="20.25" customHeight="1">
      <c r="A15" s="219">
        <v>14</v>
      </c>
      <c r="B15" s="220" t="str">
        <f>VLOOKUP(A15,'Potencial Arrecadação Cobrança'!$J$2:$L$22,3,FALSE)</f>
        <v xml:space="preserve">Faixa 1 </v>
      </c>
      <c r="C15" s="221">
        <f>VLOOKUP(Tabela6[[#This Row],[UGRHI]],Gestao[[UGRHI]:[Indicador 3
Gestão
(Pontuação)]],2,FALSE)</f>
        <v>5</v>
      </c>
      <c r="D15" s="221">
        <f>VLOOKUP(Tabela6[[#This Row],[UGRHI]],Capacitação!$A$2:$B$22,2,FALSE)</f>
        <v>0</v>
      </c>
      <c r="E15" s="221">
        <f>VLOOKUP(Tabela6[[#This Row],[UGRHI]],'Transparência SIGRH'!$A$2:$B$22, 2, FALSE)</f>
        <v>3</v>
      </c>
      <c r="F15" s="221">
        <f>VLOOKUP(Tabela6[[#This Row],[UGRHI]],Tabela5[[UGRHi]:[Indicador 1
Utilização de Recursos FEHIDRO
(Pontuação)]],2,FALSE)</f>
        <v>0</v>
      </c>
      <c r="G15" s="222">
        <f t="shared" si="0"/>
        <v>8</v>
      </c>
      <c r="H15" s="223">
        <f t="shared" si="1"/>
        <v>8.8888888888888892E-2</v>
      </c>
      <c r="I15" s="224">
        <f>$H15* ( INDEX('Potencial Arrecadação Cobrança'!$E$2:$E$6, MATCH(Rateio!B15,'Potencial Arrecadação Cobrança'!$C$2:$C$6,0)))</f>
        <v>623127.55555555562</v>
      </c>
      <c r="L15" s="79"/>
    </row>
    <row r="16" spans="1:12" ht="20.25" customHeight="1">
      <c r="A16" s="219">
        <v>15</v>
      </c>
      <c r="B16" s="220" t="str">
        <f>VLOOKUP(A16,'Potencial Arrecadação Cobrança'!$J$2:$L$22,3,FALSE)</f>
        <v xml:space="preserve">Faixa 2 </v>
      </c>
      <c r="C16" s="221">
        <f>VLOOKUP(Tabela6[[#This Row],[UGRHI]],Gestao[[UGRHI]:[Indicador 3
Gestão
(Pontuação)]],2,FALSE)</f>
        <v>3</v>
      </c>
      <c r="D16" s="221">
        <f>VLOOKUP(Tabela6[[#This Row],[UGRHI]],Capacitação!$A$2:$B$22,2,FALSE)</f>
        <v>0</v>
      </c>
      <c r="E16" s="221">
        <f>VLOOKUP(Tabela6[[#This Row],[UGRHI]],'Transparência SIGRH'!$A$2:$B$22, 2, FALSE)</f>
        <v>0</v>
      </c>
      <c r="F16" s="221">
        <f>VLOOKUP(Tabela6[[#This Row],[UGRHI]],Tabela5[[UGRHi]:[Indicador 1
Utilização de Recursos FEHIDRO
(Pontuação)]],2,FALSE)</f>
        <v>10</v>
      </c>
      <c r="G16" s="222">
        <f t="shared" si="0"/>
        <v>13</v>
      </c>
      <c r="H16" s="223">
        <f t="shared" si="1"/>
        <v>0.12621359223300971</v>
      </c>
      <c r="I16" s="224">
        <f>$H16* ( INDEX('Potencial Arrecadação Cobrança'!$E$2:$E$6, MATCH(Rateio!B16,'Potencial Arrecadação Cobrança'!$C$2:$C$6,0)))</f>
        <v>760163.64077669906</v>
      </c>
      <c r="L16" s="79"/>
    </row>
    <row r="17" spans="1:12" ht="20.25" customHeight="1">
      <c r="A17" s="219">
        <v>16</v>
      </c>
      <c r="B17" s="220" t="str">
        <f>VLOOKUP(A17,'Potencial Arrecadação Cobrança'!$J$2:$L$22,3,FALSE)</f>
        <v xml:space="preserve">Faixa 2 </v>
      </c>
      <c r="C17" s="221">
        <f>VLOOKUP(Tabela6[[#This Row],[UGRHI]],Gestao[[UGRHI]:[Indicador 3
Gestão
(Pontuação)]],2,FALSE)</f>
        <v>10</v>
      </c>
      <c r="D17" s="221">
        <f>VLOOKUP(Tabela6[[#This Row],[UGRHI]],Capacitação!$A$2:$B$22,2,FALSE)</f>
        <v>0</v>
      </c>
      <c r="E17" s="221">
        <f>VLOOKUP(Tabela6[[#This Row],[UGRHI]],'Transparência SIGRH'!$A$2:$B$22, 2, FALSE)</f>
        <v>0</v>
      </c>
      <c r="F17" s="221">
        <f>VLOOKUP(Tabela6[[#This Row],[UGRHI]],Tabela5[[UGRHi]:[Indicador 1
Utilização de Recursos FEHIDRO
(Pontuação)]],2,FALSE)</f>
        <v>10</v>
      </c>
      <c r="G17" s="222">
        <f t="shared" si="0"/>
        <v>20</v>
      </c>
      <c r="H17" s="223">
        <f t="shared" si="1"/>
        <v>0.1941747572815534</v>
      </c>
      <c r="I17" s="224">
        <f>$H17* ( INDEX('Potencial Arrecadação Cobrança'!$E$2:$E$6, MATCH(Rateio!B17,'Potencial Arrecadação Cobrança'!$C$2:$C$6,0)))</f>
        <v>1169482.5242718447</v>
      </c>
      <c r="L17" s="79"/>
    </row>
    <row r="18" spans="1:12" ht="20.25" customHeight="1">
      <c r="A18" s="219">
        <v>17</v>
      </c>
      <c r="B18" s="220" t="str">
        <f>VLOOKUP(A18,'Potencial Arrecadação Cobrança'!$J$2:$L$22,3,FALSE)</f>
        <v xml:space="preserve">Faixa 2 </v>
      </c>
      <c r="C18" s="221">
        <f>VLOOKUP(Tabela6[[#This Row],[UGRHI]],Gestao[[UGRHI]:[Indicador 3
Gestão
(Pontuação)]],2,FALSE)</f>
        <v>5</v>
      </c>
      <c r="D18" s="221">
        <f>VLOOKUP(Tabela6[[#This Row],[UGRHI]],Capacitação!$A$2:$B$22,2,FALSE)</f>
        <v>0</v>
      </c>
      <c r="E18" s="221">
        <f>VLOOKUP(Tabela6[[#This Row],[UGRHI]],'Transparência SIGRH'!$A$2:$B$22, 2, FALSE)</f>
        <v>0</v>
      </c>
      <c r="F18" s="221">
        <f>VLOOKUP(Tabela6[[#This Row],[UGRHI]],Tabela5[[UGRHi]:[Indicador 1
Utilização de Recursos FEHIDRO
(Pontuação)]],2,FALSE)</f>
        <v>0</v>
      </c>
      <c r="G18" s="222">
        <f t="shared" si="0"/>
        <v>5</v>
      </c>
      <c r="H18" s="223">
        <f t="shared" si="1"/>
        <v>4.8543689320388349E-2</v>
      </c>
      <c r="I18" s="224">
        <f>$H18* ( INDEX('Potencial Arrecadação Cobrança'!$E$2:$E$6, MATCH(Rateio!B18,'Potencial Arrecadação Cobrança'!$C$2:$C$6,0)))</f>
        <v>292370.63106796116</v>
      </c>
      <c r="L18" s="79"/>
    </row>
    <row r="19" spans="1:12" ht="20.25" customHeight="1">
      <c r="A19" s="219">
        <v>18</v>
      </c>
      <c r="B19" s="220" t="str">
        <f>VLOOKUP(A19,'Potencial Arrecadação Cobrança'!$J$2:$L$22,3,FALSE)</f>
        <v xml:space="preserve">Faixa 1 </v>
      </c>
      <c r="C19" s="221">
        <f>VLOOKUP(Tabela6[[#This Row],[UGRHI]],Gestao[[UGRHI]:[Indicador 3
Gestão
(Pontuação)]],2,FALSE)</f>
        <v>10</v>
      </c>
      <c r="D19" s="221">
        <f>VLOOKUP(Tabela6[[#This Row],[UGRHI]],Capacitação!$A$2:$B$22,2,FALSE)</f>
        <v>0</v>
      </c>
      <c r="E19" s="221">
        <f>VLOOKUP(Tabela6[[#This Row],[UGRHI]],'Transparência SIGRH'!$A$2:$B$22, 2, FALSE)</f>
        <v>0</v>
      </c>
      <c r="F19" s="221">
        <f>VLOOKUP(Tabela6[[#This Row],[UGRHI]],Tabela5[[UGRHi]:[Indicador 1
Utilização de Recursos FEHIDRO
(Pontuação)]],2,FALSE)</f>
        <v>10</v>
      </c>
      <c r="G19" s="222">
        <f t="shared" si="0"/>
        <v>20</v>
      </c>
      <c r="H19" s="223">
        <f t="shared" si="1"/>
        <v>0.22222222222222221</v>
      </c>
      <c r="I19" s="224">
        <f>$H19* ( INDEX('Potencial Arrecadação Cobrança'!$E$2:$E$6, MATCH(Rateio!B19,'Potencial Arrecadação Cobrança'!$C$2:$C$6,0)))</f>
        <v>1557818.8888888888</v>
      </c>
      <c r="L19" s="79"/>
    </row>
    <row r="20" spans="1:12" ht="20.25" customHeight="1">
      <c r="A20" s="219">
        <v>19</v>
      </c>
      <c r="B20" s="220" t="str">
        <f>VLOOKUP(A20,'Potencial Arrecadação Cobrança'!$J$2:$L$22,3,FALSE)</f>
        <v xml:space="preserve">Faixa 3 </v>
      </c>
      <c r="C20" s="221">
        <f>VLOOKUP(Tabela6[[#This Row],[UGRHI]],Gestao[[UGRHI]:[Indicador 3
Gestão
(Pontuação)]],2,FALSE)</f>
        <v>8</v>
      </c>
      <c r="D20" s="221">
        <f>VLOOKUP(Tabela6[[#This Row],[UGRHI]],Capacitação!$A$2:$B$22,2,FALSE)</f>
        <v>0</v>
      </c>
      <c r="E20" s="221">
        <f>VLOOKUP(Tabela6[[#This Row],[UGRHI]],'Transparência SIGRH'!$A$2:$B$22, 2, FALSE)</f>
        <v>3</v>
      </c>
      <c r="F20" s="225">
        <f>VLOOKUP(Tabela6[[#This Row],[UGRHI]],Tabela5[[UGRHi]:[Indicador 1
Utilização de Recursos FEHIDRO
(Pontuação)]],2,FALSE)</f>
        <v>10</v>
      </c>
      <c r="G20" s="222">
        <f t="shared" si="0"/>
        <v>21</v>
      </c>
      <c r="H20" s="223">
        <f t="shared" si="1"/>
        <v>0.17796610169491525</v>
      </c>
      <c r="I20" s="224">
        <f>$H20* ( INDEX('Potencial Arrecadação Cobrança'!$E$2:$E$6, MATCH(Rateio!B20,'Potencial Arrecadação Cobrança'!$C$2:$C$6,0)))</f>
        <v>878574.15254237282</v>
      </c>
      <c r="L20" s="79"/>
    </row>
    <row r="21" spans="1:12" ht="20.25" customHeight="1">
      <c r="A21" s="226">
        <v>22</v>
      </c>
      <c r="B21" s="227" t="str">
        <f>VLOOKUP(A21,'Potencial Arrecadação Cobrança'!$J$2:$L$22,3,FALSE)</f>
        <v xml:space="preserve">Faixa 1 </v>
      </c>
      <c r="C21" s="228">
        <f>VLOOKUP(Tabela6[[#This Row],[UGRHI]],Gestao[[UGRHI]:[Indicador 3
Gestão
(Pontuação)]],2,FALSE)</f>
        <v>10</v>
      </c>
      <c r="D21" s="221">
        <f>VLOOKUP(Tabela6[[#This Row],[UGRHI]],Capacitação!$A$2:$B$22,2,FALSE)</f>
        <v>0</v>
      </c>
      <c r="E21" s="228">
        <f>VLOOKUP(Tabela6[[#This Row],[UGRHI]],'Transparência SIGRH'!$A$2:$B$22, 2, FALSE)</f>
        <v>0</v>
      </c>
      <c r="F21" s="228">
        <f>VLOOKUP(Tabela6[[#This Row],[UGRHI]],Tabela5[[UGRHi]:[Indicador 1
Utilização de Recursos FEHIDRO
(Pontuação)]],2,FALSE)</f>
        <v>0</v>
      </c>
      <c r="G21" s="229">
        <f t="shared" si="0"/>
        <v>10</v>
      </c>
      <c r="H21" s="223">
        <f t="shared" si="1"/>
        <v>0.1111111111111111</v>
      </c>
      <c r="I21" s="224">
        <f>$H21* ( INDEX('Potencial Arrecadação Cobrança'!$E$2:$E$6, MATCH(Rateio!B21,'Potencial Arrecadação Cobrança'!$C$2:$C$6,0)))</f>
        <v>778909.44444444438</v>
      </c>
      <c r="L21" s="79"/>
    </row>
    <row r="22" spans="1:12" ht="20.25" customHeight="1">
      <c r="A22" s="219">
        <v>2021</v>
      </c>
      <c r="B22" s="220" t="str">
        <f>VLOOKUP(A22,'Potencial Arrecadação Cobrança'!$J$2:$L$22,3,FALSE)</f>
        <v xml:space="preserve">Faixa 2 </v>
      </c>
      <c r="C22" s="221">
        <f>VLOOKUP(Tabela6[[#This Row],[UGRHI]],Gestao[[UGRHI]:[Indicador 3
Gestão
(Pontuação)]],2,FALSE)</f>
        <v>6</v>
      </c>
      <c r="D22" s="221">
        <f>VLOOKUP(Tabela6[[#This Row],[UGRHI]],Capacitação!$A$2:$B$22,2,FALSE)</f>
        <v>0</v>
      </c>
      <c r="E22" s="221">
        <f>VLOOKUP(Tabela6[[#This Row],[UGRHI]],'Transparência SIGRH'!$A$2:$B$22, 2, FALSE)</f>
        <v>0</v>
      </c>
      <c r="F22" s="221">
        <f>VLOOKUP(Tabela6[[#This Row],[UGRHI]],Tabela5[[UGRHi]:[Indicador 1
Utilização de Recursos FEHIDRO
(Pontuação)]],2,FALSE)</f>
        <v>10</v>
      </c>
      <c r="G22" s="222">
        <f t="shared" si="0"/>
        <v>16</v>
      </c>
      <c r="H22" s="223">
        <f t="shared" si="1"/>
        <v>0.1553398058252427</v>
      </c>
      <c r="I22" s="224">
        <f>$H22* ( INDEX('Potencial Arrecadação Cobrança'!$E$2:$E$6, MATCH(Rateio!B22,'Potencial Arrecadação Cobrança'!$C$2:$C$6,0)))</f>
        <v>935586.01941747568</v>
      </c>
      <c r="L22" s="79"/>
    </row>
    <row r="24" spans="1:12">
      <c r="C24" s="124"/>
      <c r="G24" s="180"/>
    </row>
    <row r="25" spans="1:12">
      <c r="C25" s="124"/>
      <c r="G25" s="180"/>
    </row>
    <row r="26" spans="1:12">
      <c r="C26" s="124"/>
      <c r="G26" s="180"/>
    </row>
    <row r="27" spans="1:12">
      <c r="C27" s="124"/>
      <c r="G27" s="180"/>
    </row>
    <row r="28" spans="1:12">
      <c r="C28" s="124"/>
      <c r="G28" s="180"/>
    </row>
    <row r="29" spans="1:12">
      <c r="C29" s="124"/>
      <c r="G29" s="180"/>
    </row>
    <row r="30" spans="1:12">
      <c r="C30" s="124"/>
      <c r="G30" s="180"/>
    </row>
    <row r="31" spans="1:12">
      <c r="C31" s="124"/>
      <c r="G31" s="180"/>
    </row>
    <row r="32" spans="1:12">
      <c r="C32" s="124"/>
      <c r="G32" s="180"/>
    </row>
    <row r="33" spans="3:7">
      <c r="C33" s="124"/>
      <c r="G33" s="180"/>
    </row>
    <row r="34" spans="3:7">
      <c r="C34" s="124"/>
      <c r="G34" s="180"/>
    </row>
    <row r="35" spans="3:7">
      <c r="C35" s="124"/>
      <c r="G35" s="180"/>
    </row>
    <row r="36" spans="3:7">
      <c r="C36" s="124"/>
      <c r="G36" s="180"/>
    </row>
    <row r="37" spans="3:7">
      <c r="C37" s="124"/>
      <c r="G37" s="180"/>
    </row>
    <row r="38" spans="3:7">
      <c r="C38" s="124"/>
      <c r="G38" s="180"/>
    </row>
    <row r="39" spans="3:7">
      <c r="C39" s="124"/>
      <c r="G39" s="180"/>
    </row>
    <row r="40" spans="3:7">
      <c r="C40" s="124"/>
      <c r="G40" s="180"/>
    </row>
    <row r="41" spans="3:7">
      <c r="C41" s="124"/>
      <c r="G41" s="180"/>
    </row>
    <row r="42" spans="3:7">
      <c r="C42" s="124"/>
      <c r="G42" s="180"/>
    </row>
    <row r="43" spans="3:7">
      <c r="C43" s="124"/>
      <c r="G43" s="180"/>
    </row>
    <row r="44" spans="3:7">
      <c r="C44" s="124"/>
      <c r="G44" s="180"/>
    </row>
    <row r="45" spans="3:7">
      <c r="C45" s="124"/>
      <c r="G45" s="180"/>
    </row>
    <row r="46" spans="3:7" ht="15" customHeight="1">
      <c r="C46" s="124"/>
      <c r="G46" s="180"/>
    </row>
    <row r="47" spans="3:7" ht="15" customHeight="1">
      <c r="C47" s="124"/>
      <c r="G47" s="180"/>
    </row>
    <row r="48" spans="3:7" ht="15" customHeight="1">
      <c r="C48" s="124"/>
      <c r="G48" s="180"/>
    </row>
    <row r="49" spans="3:7">
      <c r="C49" s="124"/>
      <c r="G49" s="180"/>
    </row>
    <row r="50" spans="3:7">
      <c r="C50" s="124"/>
      <c r="G50" s="180"/>
    </row>
    <row r="51" spans="3:7" ht="15" customHeight="1">
      <c r="C51" s="124"/>
      <c r="G51" s="180"/>
    </row>
    <row r="52" spans="3:7">
      <c r="C52" s="124"/>
      <c r="G52" s="180"/>
    </row>
    <row r="53" spans="3:7">
      <c r="C53" s="124"/>
      <c r="G53" s="180"/>
    </row>
    <row r="54" spans="3:7">
      <c r="C54" s="124"/>
      <c r="G54" s="180"/>
    </row>
    <row r="55" spans="3:7">
      <c r="C55" s="124"/>
      <c r="G55" s="180"/>
    </row>
    <row r="56" spans="3:7">
      <c r="C56" s="124"/>
      <c r="G56" s="180"/>
    </row>
    <row r="57" spans="3:7">
      <c r="C57" s="124"/>
      <c r="G57" s="180"/>
    </row>
    <row r="58" spans="3:7">
      <c r="C58" s="124"/>
      <c r="G58" s="180"/>
    </row>
    <row r="59" spans="3:7">
      <c r="C59" s="124"/>
      <c r="G59" s="180"/>
    </row>
    <row r="60" spans="3:7">
      <c r="G60" s="180"/>
    </row>
    <row r="61" spans="3:7">
      <c r="G61" s="180"/>
    </row>
    <row r="62" spans="3:7">
      <c r="G62" s="180"/>
    </row>
    <row r="63" spans="3:7">
      <c r="G63" s="180"/>
    </row>
    <row r="64" spans="3:7">
      <c r="G64" s="180"/>
    </row>
    <row r="65" spans="7:7">
      <c r="G65" s="180"/>
    </row>
    <row r="66" spans="7:7">
      <c r="G66" s="180"/>
    </row>
    <row r="67" spans="7:7">
      <c r="G67" s="180"/>
    </row>
    <row r="68" spans="7:7">
      <c r="G68" s="180"/>
    </row>
    <row r="69" spans="7:7">
      <c r="G69" s="180"/>
    </row>
    <row r="70" spans="7:7">
      <c r="G70" s="180"/>
    </row>
    <row r="71" spans="7:7">
      <c r="G71" s="180"/>
    </row>
    <row r="72" spans="7:7">
      <c r="G72" s="180"/>
    </row>
    <row r="73" spans="7:7">
      <c r="G73" s="180"/>
    </row>
    <row r="74" spans="7:7">
      <c r="G74" s="180"/>
    </row>
    <row r="75" spans="7:7">
      <c r="G75" s="180"/>
    </row>
    <row r="76" spans="7:7">
      <c r="G76" s="180"/>
    </row>
    <row r="77" spans="7:7">
      <c r="G77" s="180"/>
    </row>
    <row r="78" spans="7:7">
      <c r="G78" s="180"/>
    </row>
    <row r="79" spans="7:7">
      <c r="G79" s="180"/>
    </row>
    <row r="80" spans="7:7">
      <c r="G80" s="180"/>
    </row>
    <row r="81" spans="7:7">
      <c r="G81" s="180"/>
    </row>
    <row r="82" spans="7:7">
      <c r="G82" s="180"/>
    </row>
    <row r="83" spans="7:7">
      <c r="G83" s="180"/>
    </row>
    <row r="84" spans="7:7">
      <c r="G84" s="180"/>
    </row>
    <row r="85" spans="7:7">
      <c r="G85" s="180"/>
    </row>
    <row r="86" spans="7:7">
      <c r="G86" s="180"/>
    </row>
    <row r="87" spans="7:7">
      <c r="G87" s="180"/>
    </row>
  </sheetData>
  <phoneticPr fontId="13" type="noConversion"/>
  <conditionalFormatting sqref="B24 D24:H24">
    <cfRule type="cellIs" dxfId="44" priority="13" operator="equal">
      <formula>"ERRO"</formula>
    </cfRule>
    <cfRule type="cellIs" dxfId="43" priority="14" operator="equal">
      <formula>"OK"</formula>
    </cfRule>
  </conditionalFormatting>
  <printOptions horizontalCentered="1"/>
  <pageMargins left="0.23622047244094491" right="0.23622047244094491" top="0.74803149606299213" bottom="0.74803149606299213" header="0.31496062992125984" footer="0.31496062992125984"/>
  <pageSetup paperSize="9" scale="78" orientation="landscape" r:id="rId1"/>
  <headerFooter alignWithMargins="0"/>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702"/>
  <sheetViews>
    <sheetView zoomScaleNormal="100" workbookViewId="0">
      <selection activeCell="M4" sqref="M4"/>
    </sheetView>
  </sheetViews>
  <sheetFormatPr defaultColWidth="20.6640625" defaultRowHeight="10.199999999999999"/>
  <cols>
    <col min="1" max="1" width="11.44140625" style="145" bestFit="1" customWidth="1"/>
    <col min="2" max="2" width="9.109375" style="146" bestFit="1" customWidth="1"/>
    <col min="3" max="4" width="21.5546875" style="136" bestFit="1" customWidth="1"/>
    <col min="5" max="5" width="13.5546875" style="136" bestFit="1" customWidth="1"/>
    <col min="6" max="6" width="19.88671875" style="136" bestFit="1" customWidth="1"/>
    <col min="7" max="7" width="15.88671875" style="147" bestFit="1" customWidth="1"/>
    <col min="8" max="8" width="26.5546875" style="136" bestFit="1" customWidth="1"/>
    <col min="9" max="9" width="12.5546875" style="136" bestFit="1" customWidth="1"/>
    <col min="10" max="10" width="11.88671875" style="136" bestFit="1" customWidth="1"/>
    <col min="11" max="11" width="25.44140625" style="147" bestFit="1" customWidth="1"/>
    <col min="12" max="12" width="15.88671875" style="294" hidden="1" customWidth="1"/>
    <col min="13" max="13" width="20.6640625" style="136"/>
    <col min="14" max="14" width="15.109375" style="136" bestFit="1" customWidth="1"/>
    <col min="15" max="16384" width="20.6640625" style="136"/>
  </cols>
  <sheetData>
    <row r="1" spans="1:14" s="149" customFormat="1" ht="20.399999999999999">
      <c r="A1" s="134" t="s">
        <v>43</v>
      </c>
      <c r="B1" s="134" t="s">
        <v>110</v>
      </c>
      <c r="C1" s="148" t="s">
        <v>111</v>
      </c>
      <c r="D1" s="148" t="s">
        <v>112</v>
      </c>
      <c r="E1" s="148" t="s">
        <v>113</v>
      </c>
      <c r="F1" s="148" t="s">
        <v>114</v>
      </c>
      <c r="G1" s="135" t="s">
        <v>115</v>
      </c>
      <c r="H1" s="148" t="s">
        <v>116</v>
      </c>
      <c r="I1" s="135" t="s">
        <v>117</v>
      </c>
      <c r="J1" s="135" t="s">
        <v>118</v>
      </c>
      <c r="K1" s="135" t="s">
        <v>119</v>
      </c>
      <c r="L1" s="288" t="s">
        <v>120</v>
      </c>
      <c r="N1"/>
    </row>
    <row r="2" spans="1:14" ht="14.4">
      <c r="A2" s="142">
        <f>VLOOKUP(E2,Dim_Colegiado[],2,FALSE)</f>
        <v>1</v>
      </c>
      <c r="B2" s="143" t="str">
        <f t="shared" ref="B2:B65" si="0">LEFT(C2,4)</f>
        <v>2020</v>
      </c>
      <c r="C2" s="144" t="s">
        <v>121</v>
      </c>
      <c r="D2" s="91"/>
      <c r="E2" s="91" t="s">
        <v>122</v>
      </c>
      <c r="F2" s="88">
        <v>239954.57</v>
      </c>
      <c r="G2" s="96" t="s">
        <v>101</v>
      </c>
      <c r="H2" s="72" t="s">
        <v>123</v>
      </c>
      <c r="I2" s="91">
        <v>34</v>
      </c>
      <c r="J2" s="91" t="str">
        <f>LEFT(empreend_Fehidro[[#This Row],[suBpdc classifc]],1)</f>
        <v>3</v>
      </c>
      <c r="K2" s="140" t="str" cm="1">
        <f t="array" ref="K2">IF(empreend_Fehidro[[#This Row],[Devolvido?]] = "Não", _xlfn.XLOOKUP(empreend_Fehidro[[#This Row],[UGRHI]] &amp; empreend_Fehidro[[#This Row],[PDC class]], PAPI!A:A &amp; PAPI!B:B,PAPI!C:C, " PDC não prioritário no PAPI"), "n/a")</f>
        <v>Prioritário</v>
      </c>
      <c r="L2" s="289" t="s">
        <v>95</v>
      </c>
      <c r="N2"/>
    </row>
    <row r="3" spans="1:14" ht="14.4">
      <c r="A3" s="137">
        <f>VLOOKUP(E3,Dim_Colegiado[],2,FALSE)</f>
        <v>1</v>
      </c>
      <c r="B3" s="138" t="str">
        <f t="shared" si="0"/>
        <v>2020</v>
      </c>
      <c r="C3" s="139" t="s">
        <v>124</v>
      </c>
      <c r="D3" s="95"/>
      <c r="E3" s="95" t="s">
        <v>122</v>
      </c>
      <c r="F3" s="92">
        <v>213200.52</v>
      </c>
      <c r="G3" s="96" t="s">
        <v>101</v>
      </c>
      <c r="H3" s="72" t="s">
        <v>123</v>
      </c>
      <c r="I3" s="91">
        <v>34</v>
      </c>
      <c r="J3" s="91" t="str">
        <f>LEFT(empreend_Fehidro[[#This Row],[suBpdc classifc]],1)</f>
        <v>3</v>
      </c>
      <c r="K3" s="140" t="str" cm="1">
        <f t="array" ref="K3">IF(empreend_Fehidro[[#This Row],[Devolvido?]] = "Não", _xlfn.XLOOKUP(empreend_Fehidro[[#This Row],[UGRHI]] &amp; empreend_Fehidro[[#This Row],[PDC class]], PAPI!A:A &amp; PAPI!B:B,PAPI!C:C, " PDC não prioritário no PAPI"), "n/a")</f>
        <v>Prioritário</v>
      </c>
      <c r="L3" s="289" t="s">
        <v>95</v>
      </c>
      <c r="N3"/>
    </row>
    <row r="4" spans="1:14" ht="14.4">
      <c r="A4" s="137">
        <f>VLOOKUP(E4,Dim_Colegiado[],2,FALSE)</f>
        <v>2</v>
      </c>
      <c r="B4" s="138" t="str">
        <f t="shared" si="0"/>
        <v>2020</v>
      </c>
      <c r="C4" s="139" t="s">
        <v>125</v>
      </c>
      <c r="D4" s="95"/>
      <c r="E4" s="95" t="s">
        <v>126</v>
      </c>
      <c r="F4" s="92">
        <v>1541343.08</v>
      </c>
      <c r="G4" s="96" t="s">
        <v>101</v>
      </c>
      <c r="H4" s="72" t="s">
        <v>123</v>
      </c>
      <c r="I4" s="91">
        <v>72</v>
      </c>
      <c r="J4" s="91" t="str">
        <f>LEFT(empreend_Fehidro[[#This Row],[suBpdc classifc]],1)</f>
        <v>7</v>
      </c>
      <c r="K4" s="140" t="str" cm="1">
        <f t="array" ref="K4">IF(empreend_Fehidro[[#This Row],[Devolvido?]] = "Não", _xlfn.XLOOKUP(empreend_Fehidro[[#This Row],[UGRHI]] &amp; empreend_Fehidro[[#This Row],[PDC class]], PAPI!A:A &amp; PAPI!B:B,PAPI!C:C, " PDC não prioritário no PAPI"), "n/a")</f>
        <v>Prioritário</v>
      </c>
      <c r="L4" s="289" t="s">
        <v>95</v>
      </c>
      <c r="N4"/>
    </row>
    <row r="5" spans="1:14" ht="14.4">
      <c r="A5" s="142">
        <f>VLOOKUP(E5,Dim_Colegiado[],2,FALSE)</f>
        <v>2</v>
      </c>
      <c r="B5" s="143" t="str">
        <f t="shared" si="0"/>
        <v>2020</v>
      </c>
      <c r="C5" s="144" t="s">
        <v>127</v>
      </c>
      <c r="D5" s="91"/>
      <c r="E5" s="91" t="s">
        <v>126</v>
      </c>
      <c r="F5" s="88">
        <v>1053921.1499999999</v>
      </c>
      <c r="G5" s="96" t="s">
        <v>101</v>
      </c>
      <c r="H5" s="72" t="s">
        <v>123</v>
      </c>
      <c r="I5" s="91">
        <v>42</v>
      </c>
      <c r="J5" s="91" t="str">
        <f>LEFT(empreend_Fehidro[[#This Row],[suBpdc classifc]],1)</f>
        <v>4</v>
      </c>
      <c r="K5" s="140" t="str" cm="1">
        <f t="array" ref="K5">IF(empreend_Fehidro[[#This Row],[Devolvido?]] = "Não", _xlfn.XLOOKUP(empreend_Fehidro[[#This Row],[UGRHI]] &amp; empreend_Fehidro[[#This Row],[PDC class]], PAPI!A:A &amp; PAPI!B:B,PAPI!C:C, " PDC não prioritário no PAPI"), "n/a")</f>
        <v>Prioritário</v>
      </c>
      <c r="L5" s="289" t="s">
        <v>95</v>
      </c>
      <c r="N5"/>
    </row>
    <row r="6" spans="1:14" ht="14.4">
      <c r="A6" s="137">
        <f>VLOOKUP(E6,Dim_Colegiado[],2,FALSE)</f>
        <v>2</v>
      </c>
      <c r="B6" s="138" t="str">
        <f t="shared" si="0"/>
        <v>2020</v>
      </c>
      <c r="C6" s="139" t="s">
        <v>128</v>
      </c>
      <c r="D6" s="95"/>
      <c r="E6" s="95" t="s">
        <v>126</v>
      </c>
      <c r="F6" s="92">
        <v>907720</v>
      </c>
      <c r="G6" s="96" t="s">
        <v>101</v>
      </c>
      <c r="H6" s="72" t="s">
        <v>123</v>
      </c>
      <c r="I6" s="91">
        <v>42</v>
      </c>
      <c r="J6" s="91" t="str">
        <f>LEFT(empreend_Fehidro[[#This Row],[suBpdc classifc]],1)</f>
        <v>4</v>
      </c>
      <c r="K6" s="140" t="str" cm="1">
        <f t="array" ref="K6">IF(empreend_Fehidro[[#This Row],[Devolvido?]] = "Não", _xlfn.XLOOKUP(empreend_Fehidro[[#This Row],[UGRHI]] &amp; empreend_Fehidro[[#This Row],[PDC class]], PAPI!A:A &amp; PAPI!B:B,PAPI!C:C, " PDC não prioritário no PAPI"), "n/a")</f>
        <v>Prioritário</v>
      </c>
      <c r="L6" s="289" t="s">
        <v>95</v>
      </c>
      <c r="N6"/>
    </row>
    <row r="7" spans="1:14" ht="14.4">
      <c r="A7" s="142">
        <f>VLOOKUP(E7,Dim_Colegiado[],2,FALSE)</f>
        <v>2</v>
      </c>
      <c r="B7" s="143" t="str">
        <f t="shared" si="0"/>
        <v>2020</v>
      </c>
      <c r="C7" s="144" t="s">
        <v>129</v>
      </c>
      <c r="D7" s="91"/>
      <c r="E7" s="91" t="s">
        <v>126</v>
      </c>
      <c r="F7" s="88">
        <v>219192.78</v>
      </c>
      <c r="G7" s="96" t="s">
        <v>101</v>
      </c>
      <c r="H7" s="72" t="s">
        <v>123</v>
      </c>
      <c r="I7" s="91">
        <v>31</v>
      </c>
      <c r="J7" s="91" t="str">
        <f>LEFT(empreend_Fehidro[[#This Row],[suBpdc classifc]],1)</f>
        <v>3</v>
      </c>
      <c r="K7" s="140" t="str" cm="1">
        <f t="array" ref="K7">IF(empreend_Fehidro[[#This Row],[Devolvido?]] = "Não", _xlfn.XLOOKUP(empreend_Fehidro[[#This Row],[UGRHI]] &amp; empreend_Fehidro[[#This Row],[PDC class]], PAPI!A:A &amp; PAPI!B:B,PAPI!C:C, " PDC não prioritário no PAPI"), "n/a")</f>
        <v>Prioritário</v>
      </c>
      <c r="L7" s="289" t="s">
        <v>95</v>
      </c>
      <c r="N7"/>
    </row>
    <row r="8" spans="1:14" ht="14.4">
      <c r="A8" s="137">
        <f>VLOOKUP(E8,Dim_Colegiado[],2,FALSE)</f>
        <v>2</v>
      </c>
      <c r="B8" s="138" t="str">
        <f t="shared" si="0"/>
        <v>2020</v>
      </c>
      <c r="C8" s="139" t="s">
        <v>130</v>
      </c>
      <c r="D8" s="95"/>
      <c r="E8" s="95" t="s">
        <v>126</v>
      </c>
      <c r="F8" s="92">
        <v>198953.2</v>
      </c>
      <c r="G8" s="96" t="s">
        <v>101</v>
      </c>
      <c r="H8" s="72" t="s">
        <v>123</v>
      </c>
      <c r="I8" s="91">
        <v>15</v>
      </c>
      <c r="J8" s="91" t="str">
        <f>LEFT(empreend_Fehidro[[#This Row],[suBpdc classifc]],1)</f>
        <v>1</v>
      </c>
      <c r="K8" s="140" t="str" cm="1">
        <f t="array" ref="K8">IF(empreend_Fehidro[[#This Row],[Devolvido?]] = "Não", _xlfn.XLOOKUP(empreend_Fehidro[[#This Row],[UGRHI]] &amp; empreend_Fehidro[[#This Row],[PDC class]], PAPI!A:A &amp; PAPI!B:B,PAPI!C:C, " PDC não prioritário no PAPI"), "n/a")</f>
        <v>PDC 1 e 2</v>
      </c>
      <c r="L8" s="289" t="s">
        <v>96</v>
      </c>
      <c r="N8"/>
    </row>
    <row r="9" spans="1:14" ht="14.4">
      <c r="A9" s="142">
        <f>VLOOKUP(E9,Dim_Colegiado[],2,FALSE)</f>
        <v>2</v>
      </c>
      <c r="B9" s="143" t="str">
        <f t="shared" si="0"/>
        <v>2020</v>
      </c>
      <c r="C9" s="144" t="s">
        <v>131</v>
      </c>
      <c r="D9" s="91"/>
      <c r="E9" s="91" t="s">
        <v>126</v>
      </c>
      <c r="F9" s="88">
        <v>186649.24</v>
      </c>
      <c r="G9" s="96" t="s">
        <v>101</v>
      </c>
      <c r="H9" s="72" t="s">
        <v>123</v>
      </c>
      <c r="I9" s="91">
        <v>12</v>
      </c>
      <c r="J9" s="91" t="str">
        <f>LEFT(empreend_Fehidro[[#This Row],[suBpdc classifc]],1)</f>
        <v>1</v>
      </c>
      <c r="K9" s="140" t="str" cm="1">
        <f t="array" ref="K9">IF(empreend_Fehidro[[#This Row],[Devolvido?]] = "Não", _xlfn.XLOOKUP(empreend_Fehidro[[#This Row],[UGRHI]] &amp; empreend_Fehidro[[#This Row],[PDC class]], PAPI!A:A &amp; PAPI!B:B,PAPI!C:C, " PDC não prioritário no PAPI"), "n/a")</f>
        <v>PDC 1 e 2</v>
      </c>
      <c r="L9" s="289" t="s">
        <v>96</v>
      </c>
      <c r="N9"/>
    </row>
    <row r="10" spans="1:14" ht="14.4">
      <c r="A10" s="137">
        <f>VLOOKUP(E10,Dim_Colegiado[],2,FALSE)</f>
        <v>3</v>
      </c>
      <c r="B10" s="138" t="str">
        <f t="shared" si="0"/>
        <v>2020</v>
      </c>
      <c r="C10" s="139" t="s">
        <v>132</v>
      </c>
      <c r="D10" s="95"/>
      <c r="E10" s="95" t="s">
        <v>133</v>
      </c>
      <c r="F10" s="92">
        <v>349875</v>
      </c>
      <c r="G10" s="96" t="s">
        <v>101</v>
      </c>
      <c r="H10" s="72" t="s">
        <v>123</v>
      </c>
      <c r="I10" s="91">
        <v>31</v>
      </c>
      <c r="J10" s="91" t="str">
        <f>LEFT(empreend_Fehidro[[#This Row],[suBpdc classifc]],1)</f>
        <v>3</v>
      </c>
      <c r="K10" s="140" t="str" cm="1">
        <f t="array" ref="K10">IF(empreend_Fehidro[[#This Row],[Devolvido?]] = "Não", _xlfn.XLOOKUP(empreend_Fehidro[[#This Row],[UGRHI]] &amp; empreend_Fehidro[[#This Row],[PDC class]], PAPI!A:A &amp; PAPI!B:B,PAPI!C:C, " PDC não prioritário no PAPI"), "n/a")</f>
        <v>Prioritário</v>
      </c>
      <c r="L10" s="289" t="s">
        <v>95</v>
      </c>
      <c r="N10"/>
    </row>
    <row r="11" spans="1:14" ht="14.4">
      <c r="A11" s="142">
        <f>VLOOKUP(E11,Dim_Colegiado[],2,FALSE)</f>
        <v>3</v>
      </c>
      <c r="B11" s="143" t="str">
        <f t="shared" si="0"/>
        <v>2020</v>
      </c>
      <c r="C11" s="144" t="s">
        <v>134</v>
      </c>
      <c r="D11" s="91"/>
      <c r="E11" s="91" t="s">
        <v>133</v>
      </c>
      <c r="F11" s="88">
        <v>277369.21000000002</v>
      </c>
      <c r="G11" s="96" t="s">
        <v>101</v>
      </c>
      <c r="H11" s="72" t="s">
        <v>123</v>
      </c>
      <c r="I11" s="91">
        <v>31</v>
      </c>
      <c r="J11" s="91" t="str">
        <f>LEFT(empreend_Fehidro[[#This Row],[suBpdc classifc]],1)</f>
        <v>3</v>
      </c>
      <c r="K11" s="140" t="str" cm="1">
        <f t="array" ref="K11">IF(empreend_Fehidro[[#This Row],[Devolvido?]] = "Não", _xlfn.XLOOKUP(empreend_Fehidro[[#This Row],[UGRHI]] &amp; empreend_Fehidro[[#This Row],[PDC class]], PAPI!A:A &amp; PAPI!B:B,PAPI!C:C, " PDC não prioritário no PAPI"), "n/a")</f>
        <v>Prioritário</v>
      </c>
      <c r="L11" s="289" t="s">
        <v>95</v>
      </c>
      <c r="N11"/>
    </row>
    <row r="12" spans="1:14" ht="14.4">
      <c r="A12" s="137">
        <f>VLOOKUP(E12,Dim_Colegiado[],2,FALSE)</f>
        <v>3</v>
      </c>
      <c r="B12" s="138" t="str">
        <f t="shared" si="0"/>
        <v>2020</v>
      </c>
      <c r="C12" s="139" t="s">
        <v>135</v>
      </c>
      <c r="D12" s="95"/>
      <c r="E12" s="95" t="s">
        <v>133</v>
      </c>
      <c r="F12" s="92">
        <v>219400</v>
      </c>
      <c r="G12" s="96" t="s">
        <v>101</v>
      </c>
      <c r="H12" s="72" t="s">
        <v>123</v>
      </c>
      <c r="I12" s="91">
        <v>83</v>
      </c>
      <c r="J12" s="91" t="str">
        <f>LEFT(empreend_Fehidro[[#This Row],[suBpdc classifc]],1)</f>
        <v>8</v>
      </c>
      <c r="K12" s="140" t="str" cm="1">
        <f t="array" ref="K12">IF(empreend_Fehidro[[#This Row],[Devolvido?]] = "Não", _xlfn.XLOOKUP(empreend_Fehidro[[#This Row],[UGRHI]] &amp; empreend_Fehidro[[#This Row],[PDC class]], PAPI!A:A &amp; PAPI!B:B,PAPI!C:C, " PDC não prioritário no PAPI"), "n/a")</f>
        <v>Prioritário</v>
      </c>
      <c r="L12" s="289" t="s">
        <v>96</v>
      </c>
      <c r="N12"/>
    </row>
    <row r="13" spans="1:14" ht="14.4">
      <c r="A13" s="137">
        <f>VLOOKUP(E13,Dim_Colegiado[],2,FALSE)</f>
        <v>4</v>
      </c>
      <c r="B13" s="138" t="str">
        <f t="shared" si="0"/>
        <v>2020</v>
      </c>
      <c r="C13" s="139" t="s">
        <v>136</v>
      </c>
      <c r="D13" s="95"/>
      <c r="E13" s="95" t="s">
        <v>137</v>
      </c>
      <c r="F13" s="92">
        <v>700000</v>
      </c>
      <c r="G13" s="96" t="s">
        <v>101</v>
      </c>
      <c r="H13" s="72" t="s">
        <v>123</v>
      </c>
      <c r="I13" s="91">
        <v>31</v>
      </c>
      <c r="J13" s="91" t="str">
        <f>LEFT(empreend_Fehidro[[#This Row],[suBpdc classifc]],1)</f>
        <v>3</v>
      </c>
      <c r="K13" s="140" t="str" cm="1">
        <f t="array" ref="K13">IF(empreend_Fehidro[[#This Row],[Devolvido?]] = "Não", _xlfn.XLOOKUP(empreend_Fehidro[[#This Row],[UGRHI]] &amp; empreend_Fehidro[[#This Row],[PDC class]], PAPI!A:A &amp; PAPI!B:B,PAPI!C:C, " PDC não prioritário no PAPI"), "n/a")</f>
        <v>Prioritário</v>
      </c>
      <c r="L13" s="289" t="s">
        <v>95</v>
      </c>
      <c r="N13"/>
    </row>
    <row r="14" spans="1:14" ht="14.4">
      <c r="A14" s="142">
        <f>VLOOKUP(E14,Dim_Colegiado[],2,FALSE)</f>
        <v>4</v>
      </c>
      <c r="B14" s="143" t="str">
        <f t="shared" si="0"/>
        <v>2020</v>
      </c>
      <c r="C14" s="144" t="s">
        <v>138</v>
      </c>
      <c r="D14" s="91"/>
      <c r="E14" s="91" t="s">
        <v>137</v>
      </c>
      <c r="F14" s="88">
        <v>695386.44</v>
      </c>
      <c r="G14" s="96" t="s">
        <v>101</v>
      </c>
      <c r="H14" s="72" t="s">
        <v>123</v>
      </c>
      <c r="I14" s="91">
        <v>31</v>
      </c>
      <c r="J14" s="91" t="str">
        <f>LEFT(empreend_Fehidro[[#This Row],[suBpdc classifc]],1)</f>
        <v>3</v>
      </c>
      <c r="K14" s="140" t="str" cm="1">
        <f t="array" ref="K14">IF(empreend_Fehidro[[#This Row],[Devolvido?]] = "Não", _xlfn.XLOOKUP(empreend_Fehidro[[#This Row],[UGRHI]] &amp; empreend_Fehidro[[#This Row],[PDC class]], PAPI!A:A &amp; PAPI!B:B,PAPI!C:C, " PDC não prioritário no PAPI"), "n/a")</f>
        <v>Prioritário</v>
      </c>
      <c r="L14" s="289" t="s">
        <v>95</v>
      </c>
      <c r="N14"/>
    </row>
    <row r="15" spans="1:14" s="141" customFormat="1" ht="14.4">
      <c r="A15" s="137">
        <f>VLOOKUP(E15,Dim_Colegiado[],2,FALSE)</f>
        <v>4</v>
      </c>
      <c r="B15" s="138" t="str">
        <f t="shared" si="0"/>
        <v>2020</v>
      </c>
      <c r="C15" s="139" t="s">
        <v>139</v>
      </c>
      <c r="D15" s="95"/>
      <c r="E15" s="95" t="s">
        <v>137</v>
      </c>
      <c r="F15" s="92">
        <v>664867.59</v>
      </c>
      <c r="G15" s="96" t="s">
        <v>101</v>
      </c>
      <c r="H15" s="72" t="s">
        <v>123</v>
      </c>
      <c r="I15" s="91">
        <v>31</v>
      </c>
      <c r="J15" s="91" t="str">
        <f>LEFT(empreend_Fehidro[[#This Row],[suBpdc classifc]],1)</f>
        <v>3</v>
      </c>
      <c r="K15" s="140" t="str" cm="1">
        <f t="array" ref="K15">IF(empreend_Fehidro[[#This Row],[Devolvido?]] = "Não", _xlfn.XLOOKUP(empreend_Fehidro[[#This Row],[UGRHI]] &amp; empreend_Fehidro[[#This Row],[PDC class]], PAPI!A:A &amp; PAPI!B:B,PAPI!C:C, " PDC não prioritário no PAPI"), "n/a")</f>
        <v>Prioritário</v>
      </c>
      <c r="L15" s="289" t="s">
        <v>95</v>
      </c>
      <c r="N15"/>
    </row>
    <row r="16" spans="1:14" ht="14.4">
      <c r="A16" s="142">
        <f>VLOOKUP(E16,Dim_Colegiado[],2,FALSE)</f>
        <v>4</v>
      </c>
      <c r="B16" s="143" t="str">
        <f t="shared" si="0"/>
        <v>2020</v>
      </c>
      <c r="C16" s="144" t="s">
        <v>140</v>
      </c>
      <c r="D16" s="91"/>
      <c r="E16" s="91" t="s">
        <v>137</v>
      </c>
      <c r="F16" s="88">
        <v>465849.51</v>
      </c>
      <c r="G16" s="96" t="s">
        <v>101</v>
      </c>
      <c r="H16" s="72" t="s">
        <v>123</v>
      </c>
      <c r="I16" s="91">
        <v>51</v>
      </c>
      <c r="J16" s="91" t="str">
        <f>LEFT(empreend_Fehidro[[#This Row],[suBpdc classifc]],1)</f>
        <v>5</v>
      </c>
      <c r="K16" s="140" t="str" cm="1">
        <f t="array" ref="K16">IF(empreend_Fehidro[[#This Row],[Devolvido?]] = "Não", _xlfn.XLOOKUP(empreend_Fehidro[[#This Row],[UGRHI]] &amp; empreend_Fehidro[[#This Row],[PDC class]], PAPI!A:A &amp; PAPI!B:B,PAPI!C:C, " PDC não prioritário no PAPI"), "n/a")</f>
        <v>Prioritário</v>
      </c>
      <c r="L16" s="289" t="s">
        <v>95</v>
      </c>
      <c r="N16"/>
    </row>
    <row r="17" spans="1:14" ht="14.4">
      <c r="A17" s="137">
        <f>VLOOKUP(E17,Dim_Colegiado[],2,FALSE)</f>
        <v>4</v>
      </c>
      <c r="B17" s="138" t="str">
        <f t="shared" si="0"/>
        <v>2020</v>
      </c>
      <c r="C17" s="139" t="s">
        <v>141</v>
      </c>
      <c r="D17" s="95"/>
      <c r="E17" s="95" t="s">
        <v>137</v>
      </c>
      <c r="F17" s="92">
        <v>390106.5</v>
      </c>
      <c r="G17" s="96" t="s">
        <v>101</v>
      </c>
      <c r="H17" s="72" t="s">
        <v>123</v>
      </c>
      <c r="I17" s="91">
        <v>51</v>
      </c>
      <c r="J17" s="91" t="str">
        <f>LEFT(empreend_Fehidro[[#This Row],[suBpdc classifc]],1)</f>
        <v>5</v>
      </c>
      <c r="K17" s="140" t="str" cm="1">
        <f t="array" ref="K17">IF(empreend_Fehidro[[#This Row],[Devolvido?]] = "Não", _xlfn.XLOOKUP(empreend_Fehidro[[#This Row],[UGRHI]] &amp; empreend_Fehidro[[#This Row],[PDC class]], PAPI!A:A &amp; PAPI!B:B,PAPI!C:C, " PDC não prioritário no PAPI"), "n/a")</f>
        <v>Prioritário</v>
      </c>
      <c r="L17" s="289" t="s">
        <v>95</v>
      </c>
      <c r="N17"/>
    </row>
    <row r="18" spans="1:14" ht="14.4">
      <c r="A18" s="142">
        <f>VLOOKUP(E18,Dim_Colegiado[],2,FALSE)</f>
        <v>4</v>
      </c>
      <c r="B18" s="143" t="str">
        <f t="shared" si="0"/>
        <v>2020</v>
      </c>
      <c r="C18" s="144" t="s">
        <v>142</v>
      </c>
      <c r="D18" s="91"/>
      <c r="E18" s="91" t="s">
        <v>137</v>
      </c>
      <c r="F18" s="88">
        <v>342454.12</v>
      </c>
      <c r="G18" s="96" t="s">
        <v>101</v>
      </c>
      <c r="H18" s="72" t="s">
        <v>123</v>
      </c>
      <c r="I18" s="91">
        <v>33</v>
      </c>
      <c r="J18" s="91" t="str">
        <f>LEFT(empreend_Fehidro[[#This Row],[suBpdc classifc]],1)</f>
        <v>3</v>
      </c>
      <c r="K18" s="140" t="str" cm="1">
        <f t="array" ref="K18">IF(empreend_Fehidro[[#This Row],[Devolvido?]] = "Não", _xlfn.XLOOKUP(empreend_Fehidro[[#This Row],[UGRHI]] &amp; empreend_Fehidro[[#This Row],[PDC class]], PAPI!A:A &amp; PAPI!B:B,PAPI!C:C, " PDC não prioritário no PAPI"), "n/a")</f>
        <v>Prioritário</v>
      </c>
      <c r="L18" s="289" t="s">
        <v>95</v>
      </c>
      <c r="N18"/>
    </row>
    <row r="19" spans="1:14" ht="14.4">
      <c r="A19" s="137">
        <f>VLOOKUP(E19,Dim_Colegiado[],2,FALSE)</f>
        <v>4</v>
      </c>
      <c r="B19" s="138" t="str">
        <f t="shared" si="0"/>
        <v>2020</v>
      </c>
      <c r="C19" s="139" t="s">
        <v>143</v>
      </c>
      <c r="D19" s="95"/>
      <c r="E19" s="95" t="s">
        <v>137</v>
      </c>
      <c r="F19" s="92">
        <v>284116.34999999998</v>
      </c>
      <c r="G19" s="96" t="s">
        <v>101</v>
      </c>
      <c r="H19" s="72" t="s">
        <v>123</v>
      </c>
      <c r="I19" s="91">
        <v>51</v>
      </c>
      <c r="J19" s="91" t="str">
        <f>LEFT(empreend_Fehidro[[#This Row],[suBpdc classifc]],1)</f>
        <v>5</v>
      </c>
      <c r="K19" s="140" t="str" cm="1">
        <f t="array" ref="K19">IF(empreend_Fehidro[[#This Row],[Devolvido?]] = "Não", _xlfn.XLOOKUP(empreend_Fehidro[[#This Row],[UGRHI]] &amp; empreend_Fehidro[[#This Row],[PDC class]], PAPI!A:A &amp; PAPI!B:B,PAPI!C:C, " PDC não prioritário no PAPI"), "n/a")</f>
        <v>Prioritário</v>
      </c>
      <c r="L19" s="289" t="s">
        <v>95</v>
      </c>
      <c r="N19"/>
    </row>
    <row r="20" spans="1:14" ht="14.4">
      <c r="A20" s="142">
        <f>VLOOKUP(E20,Dim_Colegiado[],2,FALSE)</f>
        <v>4</v>
      </c>
      <c r="B20" s="143" t="str">
        <f t="shared" si="0"/>
        <v>2020</v>
      </c>
      <c r="C20" s="144" t="s">
        <v>144</v>
      </c>
      <c r="D20" s="91"/>
      <c r="E20" s="91" t="s">
        <v>137</v>
      </c>
      <c r="F20" s="88">
        <v>254212.08</v>
      </c>
      <c r="G20" s="96" t="s">
        <v>101</v>
      </c>
      <c r="H20" s="72" t="s">
        <v>123</v>
      </c>
      <c r="I20" s="91">
        <v>33</v>
      </c>
      <c r="J20" s="91" t="str">
        <f>LEFT(empreend_Fehidro[[#This Row],[suBpdc classifc]],1)</f>
        <v>3</v>
      </c>
      <c r="K20" s="140" t="str" cm="1">
        <f t="array" ref="K20">IF(empreend_Fehidro[[#This Row],[Devolvido?]] = "Não", _xlfn.XLOOKUP(empreend_Fehidro[[#This Row],[UGRHI]] &amp; empreend_Fehidro[[#This Row],[PDC class]], PAPI!A:A &amp; PAPI!B:B,PAPI!C:C, " PDC não prioritário no PAPI"), "n/a")</f>
        <v>Prioritário</v>
      </c>
      <c r="L20" s="289" t="s">
        <v>95</v>
      </c>
      <c r="N20"/>
    </row>
    <row r="21" spans="1:14" ht="14.4">
      <c r="A21" s="137">
        <f>VLOOKUP(E21,Dim_Colegiado[],2,FALSE)</f>
        <v>4</v>
      </c>
      <c r="B21" s="138" t="str">
        <f t="shared" si="0"/>
        <v>2020</v>
      </c>
      <c r="C21" s="139" t="s">
        <v>145</v>
      </c>
      <c r="D21" s="95"/>
      <c r="E21" s="95" t="s">
        <v>137</v>
      </c>
      <c r="F21" s="92">
        <v>228438</v>
      </c>
      <c r="G21" s="96" t="s">
        <v>101</v>
      </c>
      <c r="H21" s="72" t="s">
        <v>123</v>
      </c>
      <c r="I21" s="91">
        <v>42</v>
      </c>
      <c r="J21" s="91" t="str">
        <f>LEFT(empreend_Fehidro[[#This Row],[suBpdc classifc]],1)</f>
        <v>4</v>
      </c>
      <c r="K21" s="140" t="str" cm="1">
        <f t="array" ref="K21">IF(empreend_Fehidro[[#This Row],[Devolvido?]] = "Não", _xlfn.XLOOKUP(empreend_Fehidro[[#This Row],[UGRHI]] &amp; empreend_Fehidro[[#This Row],[PDC class]], PAPI!A:A &amp; PAPI!B:B,PAPI!C:C, " PDC não prioritário no PAPI"), "n/a")</f>
        <v>Prioritário</v>
      </c>
      <c r="L21" s="289" t="s">
        <v>95</v>
      </c>
      <c r="N21"/>
    </row>
    <row r="22" spans="1:14" ht="14.4">
      <c r="A22" s="142">
        <f>VLOOKUP(E22,Dim_Colegiado[],2,FALSE)</f>
        <v>4</v>
      </c>
      <c r="B22" s="143" t="str">
        <f t="shared" si="0"/>
        <v>2020</v>
      </c>
      <c r="C22" s="144" t="s">
        <v>146</v>
      </c>
      <c r="D22" s="91"/>
      <c r="E22" s="91" t="s">
        <v>137</v>
      </c>
      <c r="F22" s="88">
        <v>208673.86</v>
      </c>
      <c r="G22" s="96" t="s">
        <v>101</v>
      </c>
      <c r="H22" s="72" t="s">
        <v>123</v>
      </c>
      <c r="I22" s="91">
        <v>33</v>
      </c>
      <c r="J22" s="91" t="str">
        <f>LEFT(empreend_Fehidro[[#This Row],[suBpdc classifc]],1)</f>
        <v>3</v>
      </c>
      <c r="K22" s="140" t="str" cm="1">
        <f t="array" ref="K22">IF(empreend_Fehidro[[#This Row],[Devolvido?]] = "Não", _xlfn.XLOOKUP(empreend_Fehidro[[#This Row],[UGRHI]] &amp; empreend_Fehidro[[#This Row],[PDC class]], PAPI!A:A &amp; PAPI!B:B,PAPI!C:C, " PDC não prioritário no PAPI"), "n/a")</f>
        <v>Prioritário</v>
      </c>
      <c r="L22" s="289" t="s">
        <v>95</v>
      </c>
      <c r="N22"/>
    </row>
    <row r="23" spans="1:14" ht="14.4">
      <c r="A23" s="137">
        <f>VLOOKUP(E23,Dim_Colegiado[],2,FALSE)</f>
        <v>4</v>
      </c>
      <c r="B23" s="138" t="str">
        <f t="shared" si="0"/>
        <v>2020</v>
      </c>
      <c r="C23" s="139" t="s">
        <v>147</v>
      </c>
      <c r="D23" s="95"/>
      <c r="E23" s="95" t="s">
        <v>137</v>
      </c>
      <c r="F23" s="92">
        <v>195777.54</v>
      </c>
      <c r="G23" s="96" t="s">
        <v>101</v>
      </c>
      <c r="H23" s="72" t="s">
        <v>123</v>
      </c>
      <c r="I23" s="91">
        <v>42</v>
      </c>
      <c r="J23" s="91" t="str">
        <f>LEFT(empreend_Fehidro[[#This Row],[suBpdc classifc]],1)</f>
        <v>4</v>
      </c>
      <c r="K23" s="140" t="str" cm="1">
        <f t="array" ref="K23">IF(empreend_Fehidro[[#This Row],[Devolvido?]] = "Não", _xlfn.XLOOKUP(empreend_Fehidro[[#This Row],[UGRHI]] &amp; empreend_Fehidro[[#This Row],[PDC class]], PAPI!A:A &amp; PAPI!B:B,PAPI!C:C, " PDC não prioritário no PAPI"), "n/a")</f>
        <v>Prioritário</v>
      </c>
      <c r="L23" s="289" t="s">
        <v>95</v>
      </c>
      <c r="N23"/>
    </row>
    <row r="24" spans="1:14">
      <c r="A24" s="142">
        <f>VLOOKUP(E24,Dim_Colegiado[],2,FALSE)</f>
        <v>4</v>
      </c>
      <c r="B24" s="143" t="str">
        <f t="shared" si="0"/>
        <v>2020</v>
      </c>
      <c r="C24" s="144" t="s">
        <v>148</v>
      </c>
      <c r="D24" s="91"/>
      <c r="E24" s="91" t="s">
        <v>137</v>
      </c>
      <c r="F24" s="88">
        <v>178852.5</v>
      </c>
      <c r="G24" s="96" t="s">
        <v>101</v>
      </c>
      <c r="H24" s="72" t="s">
        <v>123</v>
      </c>
      <c r="I24" s="91">
        <v>34</v>
      </c>
      <c r="J24" s="91" t="str">
        <f>LEFT(empreend_Fehidro[[#This Row],[suBpdc classifc]],1)</f>
        <v>3</v>
      </c>
      <c r="K24" s="140" t="str" cm="1">
        <f t="array" ref="K24">IF(empreend_Fehidro[[#This Row],[Devolvido?]] = "Não", _xlfn.XLOOKUP(empreend_Fehidro[[#This Row],[UGRHI]] &amp; empreend_Fehidro[[#This Row],[PDC class]], PAPI!A:A &amp; PAPI!B:B,PAPI!C:C, " PDC não prioritário no PAPI"), "n/a")</f>
        <v>Prioritário</v>
      </c>
      <c r="L24" s="289" t="s">
        <v>95</v>
      </c>
    </row>
    <row r="25" spans="1:14">
      <c r="A25" s="137">
        <f>VLOOKUP(E25,Dim_Colegiado[],2,FALSE)</f>
        <v>4</v>
      </c>
      <c r="B25" s="138" t="str">
        <f t="shared" si="0"/>
        <v>2020</v>
      </c>
      <c r="C25" s="139" t="s">
        <v>149</v>
      </c>
      <c r="D25" s="95"/>
      <c r="E25" s="95" t="s">
        <v>137</v>
      </c>
      <c r="F25" s="92">
        <v>170716</v>
      </c>
      <c r="G25" s="96" t="s">
        <v>101</v>
      </c>
      <c r="H25" s="72" t="s">
        <v>123</v>
      </c>
      <c r="I25" s="91">
        <v>12</v>
      </c>
      <c r="J25" s="91" t="str">
        <f>LEFT(empreend_Fehidro[[#This Row],[suBpdc classifc]],1)</f>
        <v>1</v>
      </c>
      <c r="K25" s="140" t="str" cm="1">
        <f t="array" ref="K25">IF(empreend_Fehidro[[#This Row],[Devolvido?]] = "Não", _xlfn.XLOOKUP(empreend_Fehidro[[#This Row],[UGRHI]] &amp; empreend_Fehidro[[#This Row],[PDC class]], PAPI!A:A &amp; PAPI!B:B,PAPI!C:C, " PDC não prioritário no PAPI"), "n/a")</f>
        <v>PDC 1 e 2</v>
      </c>
      <c r="L25" s="289" t="s">
        <v>96</v>
      </c>
    </row>
    <row r="26" spans="1:14">
      <c r="A26" s="142">
        <f>VLOOKUP(E26,Dim_Colegiado[],2,FALSE)</f>
        <v>4</v>
      </c>
      <c r="B26" s="143" t="str">
        <f t="shared" si="0"/>
        <v>2020</v>
      </c>
      <c r="C26" s="144" t="s">
        <v>150</v>
      </c>
      <c r="D26" s="91"/>
      <c r="E26" s="91" t="s">
        <v>137</v>
      </c>
      <c r="F26" s="88">
        <v>168312</v>
      </c>
      <c r="G26" s="96" t="s">
        <v>101</v>
      </c>
      <c r="H26" s="72" t="s">
        <v>123</v>
      </c>
      <c r="I26" s="91">
        <v>82</v>
      </c>
      <c r="J26" s="91" t="str">
        <f>LEFT(empreend_Fehidro[[#This Row],[suBpdc classifc]],1)</f>
        <v>8</v>
      </c>
      <c r="K26" s="140" t="str" cm="1">
        <f t="array" ref="K26">IF(empreend_Fehidro[[#This Row],[Devolvido?]] = "Não", _xlfn.XLOOKUP(empreend_Fehidro[[#This Row],[UGRHI]] &amp; empreend_Fehidro[[#This Row],[PDC class]], PAPI!A:A &amp; PAPI!B:B,PAPI!C:C, " PDC não prioritário no PAPI"), "n/a")</f>
        <v>Não prioritário</v>
      </c>
      <c r="L26" s="289" t="s">
        <v>96</v>
      </c>
    </row>
    <row r="27" spans="1:14">
      <c r="A27" s="137">
        <f>VLOOKUP(E27,Dim_Colegiado[],2,FALSE)</f>
        <v>4</v>
      </c>
      <c r="B27" s="138" t="str">
        <f t="shared" si="0"/>
        <v>2020</v>
      </c>
      <c r="C27" s="139" t="s">
        <v>151</v>
      </c>
      <c r="D27" s="95"/>
      <c r="E27" s="95" t="s">
        <v>137</v>
      </c>
      <c r="F27" s="92">
        <v>160004</v>
      </c>
      <c r="G27" s="96" t="s">
        <v>101</v>
      </c>
      <c r="H27" s="72" t="s">
        <v>123</v>
      </c>
      <c r="I27" s="91">
        <v>82</v>
      </c>
      <c r="J27" s="91" t="str">
        <f>LEFT(empreend_Fehidro[[#This Row],[suBpdc classifc]],1)</f>
        <v>8</v>
      </c>
      <c r="K27" s="140" t="str" cm="1">
        <f t="array" ref="K27">IF(empreend_Fehidro[[#This Row],[Devolvido?]] = "Não", _xlfn.XLOOKUP(empreend_Fehidro[[#This Row],[UGRHI]] &amp; empreend_Fehidro[[#This Row],[PDC class]], PAPI!A:A &amp; PAPI!B:B,PAPI!C:C, " PDC não prioritário no PAPI"), "n/a")</f>
        <v>Não prioritário</v>
      </c>
      <c r="L27" s="289" t="s">
        <v>96</v>
      </c>
    </row>
    <row r="28" spans="1:14">
      <c r="A28" s="142">
        <f>VLOOKUP(E28,Dim_Colegiado[],2,FALSE)</f>
        <v>4</v>
      </c>
      <c r="B28" s="143" t="str">
        <f t="shared" si="0"/>
        <v>2020</v>
      </c>
      <c r="C28" s="144" t="s">
        <v>152</v>
      </c>
      <c r="D28" s="91"/>
      <c r="E28" s="91" t="s">
        <v>137</v>
      </c>
      <c r="F28" s="88">
        <v>159302.39999999999</v>
      </c>
      <c r="G28" s="96" t="s">
        <v>101</v>
      </c>
      <c r="H28" s="72" t="s">
        <v>123</v>
      </c>
      <c r="I28" s="91">
        <v>34</v>
      </c>
      <c r="J28" s="91" t="str">
        <f>LEFT(empreend_Fehidro[[#This Row],[suBpdc classifc]],1)</f>
        <v>3</v>
      </c>
      <c r="K28" s="140" t="str" cm="1">
        <f t="array" ref="K28">IF(empreend_Fehidro[[#This Row],[Devolvido?]] = "Não", _xlfn.XLOOKUP(empreend_Fehidro[[#This Row],[UGRHI]] &amp; empreend_Fehidro[[#This Row],[PDC class]], PAPI!A:A &amp; PAPI!B:B,PAPI!C:C, " PDC não prioritário no PAPI"), "n/a")</f>
        <v>Prioritário</v>
      </c>
      <c r="L28" s="289" t="s">
        <v>95</v>
      </c>
    </row>
    <row r="29" spans="1:14">
      <c r="A29" s="137">
        <f>VLOOKUP(E29,Dim_Colegiado[],2,FALSE)</f>
        <v>4</v>
      </c>
      <c r="B29" s="138" t="str">
        <f t="shared" si="0"/>
        <v>2020</v>
      </c>
      <c r="C29" s="139" t="s">
        <v>153</v>
      </c>
      <c r="D29" s="95"/>
      <c r="E29" s="95" t="s">
        <v>137</v>
      </c>
      <c r="F29" s="92">
        <v>150339.15</v>
      </c>
      <c r="G29" s="96" t="s">
        <v>101</v>
      </c>
      <c r="H29" s="72" t="s">
        <v>123</v>
      </c>
      <c r="I29" s="91">
        <v>31</v>
      </c>
      <c r="J29" s="91" t="str">
        <f>LEFT(empreend_Fehidro[[#This Row],[suBpdc classifc]],1)</f>
        <v>3</v>
      </c>
      <c r="K29" s="140" t="str" cm="1">
        <f t="array" ref="K29">IF(empreend_Fehidro[[#This Row],[Devolvido?]] = "Não", _xlfn.XLOOKUP(empreend_Fehidro[[#This Row],[UGRHI]] &amp; empreend_Fehidro[[#This Row],[PDC class]], PAPI!A:A &amp; PAPI!B:B,PAPI!C:C, " PDC não prioritário no PAPI"), "n/a")</f>
        <v>Prioritário</v>
      </c>
      <c r="L29" s="289" t="s">
        <v>95</v>
      </c>
    </row>
    <row r="30" spans="1:14">
      <c r="A30" s="142">
        <f>VLOOKUP(E30,Dim_Colegiado[],2,FALSE)</f>
        <v>5</v>
      </c>
      <c r="B30" s="143" t="str">
        <f t="shared" si="0"/>
        <v>2020</v>
      </c>
      <c r="C30" s="144" t="s">
        <v>154</v>
      </c>
      <c r="D30" s="91"/>
      <c r="E30" s="91" t="s">
        <v>155</v>
      </c>
      <c r="F30" s="88">
        <v>5130404.1399999997</v>
      </c>
      <c r="G30" s="96" t="s">
        <v>101</v>
      </c>
      <c r="H30" s="72" t="s">
        <v>123</v>
      </c>
      <c r="I30" s="91">
        <v>51</v>
      </c>
      <c r="J30" s="91" t="str">
        <f>LEFT(empreend_Fehidro[[#This Row],[suBpdc classifc]],1)</f>
        <v>5</v>
      </c>
      <c r="K30" s="140" t="str" cm="1">
        <f t="array" ref="K30">IF(empreend_Fehidro[[#This Row],[Devolvido?]] = "Não", _xlfn.XLOOKUP(empreend_Fehidro[[#This Row],[UGRHI]] &amp; empreend_Fehidro[[#This Row],[PDC class]], PAPI!A:A &amp; PAPI!B:B,PAPI!C:C, " PDC não prioritário no PAPI"), "n/a")</f>
        <v>Prioritário</v>
      </c>
      <c r="L30" s="289" t="s">
        <v>95</v>
      </c>
    </row>
    <row r="31" spans="1:14">
      <c r="A31" s="137">
        <f>VLOOKUP(E31,Dim_Colegiado[],2,FALSE)</f>
        <v>5</v>
      </c>
      <c r="B31" s="138" t="str">
        <f t="shared" si="0"/>
        <v>2020</v>
      </c>
      <c r="C31" s="139" t="s">
        <v>156</v>
      </c>
      <c r="D31" s="95"/>
      <c r="E31" s="95" t="s">
        <v>155</v>
      </c>
      <c r="F31" s="92">
        <v>4114052.71</v>
      </c>
      <c r="G31" s="96" t="s">
        <v>101</v>
      </c>
      <c r="H31" s="72" t="s">
        <v>123</v>
      </c>
      <c r="I31" s="91">
        <v>51</v>
      </c>
      <c r="J31" s="91" t="str">
        <f>LEFT(empreend_Fehidro[[#This Row],[suBpdc classifc]],1)</f>
        <v>5</v>
      </c>
      <c r="K31" s="140" t="str" cm="1">
        <f t="array" ref="K31">IF(empreend_Fehidro[[#This Row],[Devolvido?]] = "Não", _xlfn.XLOOKUP(empreend_Fehidro[[#This Row],[UGRHI]] &amp; empreend_Fehidro[[#This Row],[PDC class]], PAPI!A:A &amp; PAPI!B:B,PAPI!C:C, " PDC não prioritário no PAPI"), "n/a")</f>
        <v>Prioritário</v>
      </c>
      <c r="L31" s="289" t="s">
        <v>95</v>
      </c>
    </row>
    <row r="32" spans="1:14">
      <c r="A32" s="142">
        <f>VLOOKUP(E32,Dim_Colegiado[],2,FALSE)</f>
        <v>5</v>
      </c>
      <c r="B32" s="143" t="str">
        <f t="shared" si="0"/>
        <v>2020</v>
      </c>
      <c r="C32" s="144" t="s">
        <v>157</v>
      </c>
      <c r="D32" s="91"/>
      <c r="E32" s="91" t="s">
        <v>155</v>
      </c>
      <c r="F32" s="88">
        <v>3862035.58</v>
      </c>
      <c r="G32" s="96" t="s">
        <v>101</v>
      </c>
      <c r="H32" s="72" t="s">
        <v>123</v>
      </c>
      <c r="I32" s="91">
        <v>51</v>
      </c>
      <c r="J32" s="91" t="str">
        <f>LEFT(empreend_Fehidro[[#This Row],[suBpdc classifc]],1)</f>
        <v>5</v>
      </c>
      <c r="K32" s="140" t="str" cm="1">
        <f t="array" ref="K32">IF(empreend_Fehidro[[#This Row],[Devolvido?]] = "Não", _xlfn.XLOOKUP(empreend_Fehidro[[#This Row],[UGRHI]] &amp; empreend_Fehidro[[#This Row],[PDC class]], PAPI!A:A &amp; PAPI!B:B,PAPI!C:C, " PDC não prioritário no PAPI"), "n/a")</f>
        <v>Prioritário</v>
      </c>
      <c r="L32" s="289" t="s">
        <v>95</v>
      </c>
    </row>
    <row r="33" spans="1:12" s="141" customFormat="1">
      <c r="A33" s="137">
        <f>VLOOKUP(E33,Dim_Colegiado[],2,FALSE)</f>
        <v>5</v>
      </c>
      <c r="B33" s="138" t="str">
        <f t="shared" si="0"/>
        <v>2020</v>
      </c>
      <c r="C33" s="139" t="s">
        <v>158</v>
      </c>
      <c r="D33" s="95"/>
      <c r="E33" s="95" t="s">
        <v>155</v>
      </c>
      <c r="F33" s="92">
        <v>3774722.59</v>
      </c>
      <c r="G33" s="96" t="s">
        <v>101</v>
      </c>
      <c r="H33" s="72" t="s">
        <v>123</v>
      </c>
      <c r="I33" s="91">
        <v>51</v>
      </c>
      <c r="J33" s="91" t="str">
        <f>LEFT(empreend_Fehidro[[#This Row],[suBpdc classifc]],1)</f>
        <v>5</v>
      </c>
      <c r="K33" s="140" t="str" cm="1">
        <f t="array" ref="K33">IF(empreend_Fehidro[[#This Row],[Devolvido?]] = "Não", _xlfn.XLOOKUP(empreend_Fehidro[[#This Row],[UGRHI]] &amp; empreend_Fehidro[[#This Row],[PDC class]], PAPI!A:A &amp; PAPI!B:B,PAPI!C:C, " PDC não prioritário no PAPI"), "n/a")</f>
        <v>Prioritário</v>
      </c>
      <c r="L33" s="289" t="s">
        <v>95</v>
      </c>
    </row>
    <row r="34" spans="1:12" s="141" customFormat="1">
      <c r="A34" s="142">
        <f>VLOOKUP(E34,Dim_Colegiado[],2,FALSE)</f>
        <v>5</v>
      </c>
      <c r="B34" s="143" t="str">
        <f t="shared" si="0"/>
        <v>2020</v>
      </c>
      <c r="C34" s="144" t="s">
        <v>159</v>
      </c>
      <c r="D34" s="91"/>
      <c r="E34" s="91" t="s">
        <v>155</v>
      </c>
      <c r="F34" s="88">
        <v>3523782.87</v>
      </c>
      <c r="G34" s="96" t="s">
        <v>101</v>
      </c>
      <c r="H34" s="72" t="s">
        <v>123</v>
      </c>
      <c r="I34" s="91">
        <v>51</v>
      </c>
      <c r="J34" s="91" t="str">
        <f>LEFT(empreend_Fehidro[[#This Row],[suBpdc classifc]],1)</f>
        <v>5</v>
      </c>
      <c r="K34" s="140" t="str" cm="1">
        <f t="array" ref="K34">IF(empreend_Fehidro[[#This Row],[Devolvido?]] = "Não", _xlfn.XLOOKUP(empreend_Fehidro[[#This Row],[UGRHI]] &amp; empreend_Fehidro[[#This Row],[PDC class]], PAPI!A:A &amp; PAPI!B:B,PAPI!C:C, " PDC não prioritário no PAPI"), "n/a")</f>
        <v>Prioritário</v>
      </c>
      <c r="L34" s="289" t="s">
        <v>95</v>
      </c>
    </row>
    <row r="35" spans="1:12" s="141" customFormat="1">
      <c r="A35" s="137">
        <f>VLOOKUP(E35,Dim_Colegiado[],2,FALSE)</f>
        <v>5</v>
      </c>
      <c r="B35" s="138" t="str">
        <f t="shared" si="0"/>
        <v>2020</v>
      </c>
      <c r="C35" s="139" t="s">
        <v>160</v>
      </c>
      <c r="D35" s="95"/>
      <c r="E35" s="95" t="s">
        <v>155</v>
      </c>
      <c r="F35" s="92">
        <v>3101404.7</v>
      </c>
      <c r="G35" s="96" t="s">
        <v>101</v>
      </c>
      <c r="H35" s="72" t="s">
        <v>123</v>
      </c>
      <c r="I35" s="91">
        <v>51</v>
      </c>
      <c r="J35" s="91" t="str">
        <f>LEFT(empreend_Fehidro[[#This Row],[suBpdc classifc]],1)</f>
        <v>5</v>
      </c>
      <c r="K35" s="140" t="str" cm="1">
        <f t="array" ref="K35">IF(empreend_Fehidro[[#This Row],[Devolvido?]] = "Não", _xlfn.XLOOKUP(empreend_Fehidro[[#This Row],[UGRHI]] &amp; empreend_Fehidro[[#This Row],[PDC class]], PAPI!A:A &amp; PAPI!B:B,PAPI!C:C, " PDC não prioritário no PAPI"), "n/a")</f>
        <v>Prioritário</v>
      </c>
      <c r="L35" s="289" t="s">
        <v>95</v>
      </c>
    </row>
    <row r="36" spans="1:12" s="141" customFormat="1">
      <c r="A36" s="142">
        <f>VLOOKUP(E36,Dim_Colegiado[],2,FALSE)</f>
        <v>5</v>
      </c>
      <c r="B36" s="143" t="str">
        <f t="shared" si="0"/>
        <v>2020</v>
      </c>
      <c r="C36" s="144" t="s">
        <v>161</v>
      </c>
      <c r="D36" s="91"/>
      <c r="E36" s="91" t="s">
        <v>155</v>
      </c>
      <c r="F36" s="88">
        <v>1942723.09</v>
      </c>
      <c r="G36" s="96" t="s">
        <v>101</v>
      </c>
      <c r="H36" s="72" t="s">
        <v>123</v>
      </c>
      <c r="I36" s="91">
        <v>51</v>
      </c>
      <c r="J36" s="91" t="str">
        <f>LEFT(empreend_Fehidro[[#This Row],[suBpdc classifc]],1)</f>
        <v>5</v>
      </c>
      <c r="K36" s="140" t="str" cm="1">
        <f t="array" ref="K36">IF(empreend_Fehidro[[#This Row],[Devolvido?]] = "Não", _xlfn.XLOOKUP(empreend_Fehidro[[#This Row],[UGRHI]] &amp; empreend_Fehidro[[#This Row],[PDC class]], PAPI!A:A &amp; PAPI!B:B,PAPI!C:C, " PDC não prioritário no PAPI"), "n/a")</f>
        <v>Prioritário</v>
      </c>
      <c r="L36" s="289" t="s">
        <v>95</v>
      </c>
    </row>
    <row r="37" spans="1:12" s="141" customFormat="1">
      <c r="A37" s="137">
        <f>VLOOKUP(E37,Dim_Colegiado[],2,FALSE)</f>
        <v>5</v>
      </c>
      <c r="B37" s="138" t="str">
        <f t="shared" si="0"/>
        <v>2020</v>
      </c>
      <c r="C37" s="139" t="s">
        <v>162</v>
      </c>
      <c r="D37" s="95"/>
      <c r="E37" s="95" t="s">
        <v>155</v>
      </c>
      <c r="F37" s="92">
        <v>1788513.04</v>
      </c>
      <c r="G37" s="96" t="s">
        <v>101</v>
      </c>
      <c r="H37" s="72" t="s">
        <v>123</v>
      </c>
      <c r="I37" s="91">
        <v>31</v>
      </c>
      <c r="J37" s="91" t="str">
        <f>LEFT(empreend_Fehidro[[#This Row],[suBpdc classifc]],1)</f>
        <v>3</v>
      </c>
      <c r="K37" s="140" t="str" cm="1">
        <f t="array" ref="K37">IF(empreend_Fehidro[[#This Row],[Devolvido?]] = "Não", _xlfn.XLOOKUP(empreend_Fehidro[[#This Row],[UGRHI]] &amp; empreend_Fehidro[[#This Row],[PDC class]], PAPI!A:A &amp; PAPI!B:B,PAPI!C:C, " PDC não prioritário no PAPI"), "n/a")</f>
        <v>Prioritário</v>
      </c>
      <c r="L37" s="289" t="s">
        <v>95</v>
      </c>
    </row>
    <row r="38" spans="1:12" s="141" customFormat="1">
      <c r="A38" s="142">
        <f>VLOOKUP(E38,Dim_Colegiado[],2,FALSE)</f>
        <v>5</v>
      </c>
      <c r="B38" s="143" t="str">
        <f t="shared" si="0"/>
        <v>2020</v>
      </c>
      <c r="C38" s="144" t="s">
        <v>163</v>
      </c>
      <c r="D38" s="91"/>
      <c r="E38" s="91" t="s">
        <v>155</v>
      </c>
      <c r="F38" s="88">
        <v>1360122.45</v>
      </c>
      <c r="G38" s="96" t="s">
        <v>101</v>
      </c>
      <c r="H38" s="72" t="s">
        <v>123</v>
      </c>
      <c r="I38" s="91">
        <v>51</v>
      </c>
      <c r="J38" s="91" t="str">
        <f>LEFT(empreend_Fehidro[[#This Row],[suBpdc classifc]],1)</f>
        <v>5</v>
      </c>
      <c r="K38" s="140" t="str" cm="1">
        <f t="array" ref="K38">IF(empreend_Fehidro[[#This Row],[Devolvido?]] = "Não", _xlfn.XLOOKUP(empreend_Fehidro[[#This Row],[UGRHI]] &amp; empreend_Fehidro[[#This Row],[PDC class]], PAPI!A:A &amp; PAPI!B:B,PAPI!C:C, " PDC não prioritário no PAPI"), "n/a")</f>
        <v>Prioritário</v>
      </c>
      <c r="L38" s="289" t="s">
        <v>95</v>
      </c>
    </row>
    <row r="39" spans="1:12">
      <c r="A39" s="137">
        <f>VLOOKUP(E39,Dim_Colegiado[],2,FALSE)</f>
        <v>5</v>
      </c>
      <c r="B39" s="138" t="str">
        <f t="shared" si="0"/>
        <v>2020</v>
      </c>
      <c r="C39" s="139" t="s">
        <v>164</v>
      </c>
      <c r="D39" s="95"/>
      <c r="E39" s="95" t="s">
        <v>155</v>
      </c>
      <c r="F39" s="92">
        <v>452834.94</v>
      </c>
      <c r="G39" s="96" t="s">
        <v>101</v>
      </c>
      <c r="H39" s="72" t="s">
        <v>123</v>
      </c>
      <c r="I39" s="91">
        <v>51</v>
      </c>
      <c r="J39" s="91" t="str">
        <f>LEFT(empreend_Fehidro[[#This Row],[suBpdc classifc]],1)</f>
        <v>5</v>
      </c>
      <c r="K39" s="140" t="str" cm="1">
        <f t="array" ref="K39">IF(empreend_Fehidro[[#This Row],[Devolvido?]] = "Não", _xlfn.XLOOKUP(empreend_Fehidro[[#This Row],[UGRHI]] &amp; empreend_Fehidro[[#This Row],[PDC class]], PAPI!A:A &amp; PAPI!B:B,PAPI!C:C, " PDC não prioritário no PAPI"), "n/a")</f>
        <v>Prioritário</v>
      </c>
      <c r="L39" s="289" t="s">
        <v>95</v>
      </c>
    </row>
    <row r="40" spans="1:12">
      <c r="A40" s="142">
        <f>VLOOKUP(E40,Dim_Colegiado[],2,FALSE)</f>
        <v>6</v>
      </c>
      <c r="B40" s="143" t="str">
        <f t="shared" si="0"/>
        <v>2020</v>
      </c>
      <c r="C40" s="144" t="s">
        <v>165</v>
      </c>
      <c r="D40" s="91"/>
      <c r="E40" s="91" t="s">
        <v>166</v>
      </c>
      <c r="F40" s="88">
        <v>14561079.23</v>
      </c>
      <c r="G40" s="96" t="s">
        <v>101</v>
      </c>
      <c r="H40" s="72" t="s">
        <v>123</v>
      </c>
      <c r="I40" s="91">
        <v>72</v>
      </c>
      <c r="J40" s="91" t="str">
        <f>LEFT(empreend_Fehidro[[#This Row],[suBpdc classifc]],1)</f>
        <v>7</v>
      </c>
      <c r="K40" s="140" t="str" cm="1">
        <f t="array" ref="K40">IF(empreend_Fehidro[[#This Row],[Devolvido?]] = "Não", _xlfn.XLOOKUP(empreend_Fehidro[[#This Row],[UGRHI]] &amp; empreend_Fehidro[[#This Row],[PDC class]], PAPI!A:A &amp; PAPI!B:B,PAPI!C:C, " PDC não prioritário no PAPI"), "n/a")</f>
        <v>Prioritário</v>
      </c>
      <c r="L40" s="289" t="s">
        <v>95</v>
      </c>
    </row>
    <row r="41" spans="1:12">
      <c r="A41" s="137">
        <f>VLOOKUP(E41,Dim_Colegiado[],2,FALSE)</f>
        <v>6</v>
      </c>
      <c r="B41" s="138" t="str">
        <f t="shared" si="0"/>
        <v>2020</v>
      </c>
      <c r="C41" s="139" t="s">
        <v>167</v>
      </c>
      <c r="D41" s="95"/>
      <c r="E41" s="95" t="s">
        <v>166</v>
      </c>
      <c r="F41" s="92">
        <v>10474232.630000001</v>
      </c>
      <c r="G41" s="96" t="s">
        <v>101</v>
      </c>
      <c r="H41" s="72" t="s">
        <v>123</v>
      </c>
      <c r="I41" s="91">
        <v>72</v>
      </c>
      <c r="J41" s="91" t="str">
        <f>LEFT(empreend_Fehidro[[#This Row],[suBpdc classifc]],1)</f>
        <v>7</v>
      </c>
      <c r="K41" s="140" t="str" cm="1">
        <f t="array" ref="K41">IF(empreend_Fehidro[[#This Row],[Devolvido?]] = "Não", _xlfn.XLOOKUP(empreend_Fehidro[[#This Row],[UGRHI]] &amp; empreend_Fehidro[[#This Row],[PDC class]], PAPI!A:A &amp; PAPI!B:B,PAPI!C:C, " PDC não prioritário no PAPI"), "n/a")</f>
        <v>Prioritário</v>
      </c>
      <c r="L41" s="289" t="s">
        <v>95</v>
      </c>
    </row>
    <row r="42" spans="1:12">
      <c r="A42" s="142">
        <f>VLOOKUP(E42,Dim_Colegiado[],2,FALSE)</f>
        <v>6</v>
      </c>
      <c r="B42" s="143" t="str">
        <f t="shared" si="0"/>
        <v>2020</v>
      </c>
      <c r="C42" s="144" t="s">
        <v>168</v>
      </c>
      <c r="D42" s="91"/>
      <c r="E42" s="91" t="s">
        <v>166</v>
      </c>
      <c r="F42" s="88">
        <v>8264179.8399999999</v>
      </c>
      <c r="G42" s="96" t="s">
        <v>101</v>
      </c>
      <c r="H42" s="72" t="s">
        <v>123</v>
      </c>
      <c r="I42" s="91">
        <v>72</v>
      </c>
      <c r="J42" s="91" t="str">
        <f>LEFT(empreend_Fehidro[[#This Row],[suBpdc classifc]],1)</f>
        <v>7</v>
      </c>
      <c r="K42" s="140" t="str" cm="1">
        <f t="array" ref="K42">IF(empreend_Fehidro[[#This Row],[Devolvido?]] = "Não", _xlfn.XLOOKUP(empreend_Fehidro[[#This Row],[UGRHI]] &amp; empreend_Fehidro[[#This Row],[PDC class]], PAPI!A:A &amp; PAPI!B:B,PAPI!C:C, " PDC não prioritário no PAPI"), "n/a")</f>
        <v>Prioritário</v>
      </c>
      <c r="L42" s="289" t="s">
        <v>95</v>
      </c>
    </row>
    <row r="43" spans="1:12" s="141" customFormat="1">
      <c r="A43" s="137">
        <f>VLOOKUP(E43,Dim_Colegiado[],2,FALSE)</f>
        <v>6</v>
      </c>
      <c r="B43" s="138" t="str">
        <f t="shared" si="0"/>
        <v>2020</v>
      </c>
      <c r="C43" s="139" t="s">
        <v>169</v>
      </c>
      <c r="D43" s="95"/>
      <c r="E43" s="95" t="s">
        <v>166</v>
      </c>
      <c r="F43" s="92">
        <v>6843176.8399999999</v>
      </c>
      <c r="G43" s="96" t="s">
        <v>101</v>
      </c>
      <c r="H43" s="72" t="s">
        <v>123</v>
      </c>
      <c r="I43" s="91">
        <v>72</v>
      </c>
      <c r="J43" s="91" t="str">
        <f>LEFT(empreend_Fehidro[[#This Row],[suBpdc classifc]],1)</f>
        <v>7</v>
      </c>
      <c r="K43" s="140" t="str" cm="1">
        <f t="array" ref="K43">IF(empreend_Fehidro[[#This Row],[Devolvido?]] = "Não", _xlfn.XLOOKUP(empreend_Fehidro[[#This Row],[UGRHI]] &amp; empreend_Fehidro[[#This Row],[PDC class]], PAPI!A:A &amp; PAPI!B:B,PAPI!C:C, " PDC não prioritário no PAPI"), "n/a")</f>
        <v>Prioritário</v>
      </c>
      <c r="L43" s="289" t="s">
        <v>95</v>
      </c>
    </row>
    <row r="44" spans="1:12" s="141" customFormat="1">
      <c r="A44" s="142">
        <f>VLOOKUP(E44,Dim_Colegiado[],2,FALSE)</f>
        <v>6</v>
      </c>
      <c r="B44" s="143" t="str">
        <f t="shared" si="0"/>
        <v>2020</v>
      </c>
      <c r="C44" s="144" t="s">
        <v>170</v>
      </c>
      <c r="D44" s="91"/>
      <c r="E44" s="91" t="s">
        <v>166</v>
      </c>
      <c r="F44" s="88">
        <v>6799023.4500000002</v>
      </c>
      <c r="G44" s="96" t="s">
        <v>101</v>
      </c>
      <c r="H44" s="72" t="s">
        <v>123</v>
      </c>
      <c r="I44" s="91">
        <v>72</v>
      </c>
      <c r="J44" s="91" t="str">
        <f>LEFT(empreend_Fehidro[[#This Row],[suBpdc classifc]],1)</f>
        <v>7</v>
      </c>
      <c r="K44" s="140" t="str" cm="1">
        <f t="array" ref="K44">IF(empreend_Fehidro[[#This Row],[Devolvido?]] = "Não", _xlfn.XLOOKUP(empreend_Fehidro[[#This Row],[UGRHI]] &amp; empreend_Fehidro[[#This Row],[PDC class]], PAPI!A:A &amp; PAPI!B:B,PAPI!C:C, " PDC não prioritário no PAPI"), "n/a")</f>
        <v>Prioritário</v>
      </c>
      <c r="L44" s="289" t="s">
        <v>95</v>
      </c>
    </row>
    <row r="45" spans="1:12" s="141" customFormat="1">
      <c r="A45" s="137">
        <f>VLOOKUP(E45,Dim_Colegiado[],2,FALSE)</f>
        <v>6</v>
      </c>
      <c r="B45" s="138" t="str">
        <f t="shared" si="0"/>
        <v>2020</v>
      </c>
      <c r="C45" s="139" t="s">
        <v>171</v>
      </c>
      <c r="D45" s="95"/>
      <c r="E45" s="95" t="s">
        <v>166</v>
      </c>
      <c r="F45" s="92">
        <v>6672445.0700000003</v>
      </c>
      <c r="G45" s="96" t="s">
        <v>101</v>
      </c>
      <c r="H45" s="72" t="s">
        <v>123</v>
      </c>
      <c r="I45" s="91">
        <v>72</v>
      </c>
      <c r="J45" s="91" t="str">
        <f>LEFT(empreend_Fehidro[[#This Row],[suBpdc classifc]],1)</f>
        <v>7</v>
      </c>
      <c r="K45" s="140" t="str" cm="1">
        <f t="array" ref="K45">IF(empreend_Fehidro[[#This Row],[Devolvido?]] = "Não", _xlfn.XLOOKUP(empreend_Fehidro[[#This Row],[UGRHI]] &amp; empreend_Fehidro[[#This Row],[PDC class]], PAPI!A:A &amp; PAPI!B:B,PAPI!C:C, " PDC não prioritário no PAPI"), "n/a")</f>
        <v>Prioritário</v>
      </c>
      <c r="L45" s="289" t="s">
        <v>95</v>
      </c>
    </row>
    <row r="46" spans="1:12">
      <c r="A46" s="142">
        <f>VLOOKUP(E46,Dim_Colegiado[],2,FALSE)</f>
        <v>6</v>
      </c>
      <c r="B46" s="143" t="str">
        <f t="shared" si="0"/>
        <v>2020</v>
      </c>
      <c r="C46" s="144" t="s">
        <v>172</v>
      </c>
      <c r="D46" s="91"/>
      <c r="E46" s="91" t="s">
        <v>166</v>
      </c>
      <c r="F46" s="88">
        <v>4347181.18</v>
      </c>
      <c r="G46" s="96" t="s">
        <v>101</v>
      </c>
      <c r="H46" s="72" t="s">
        <v>123</v>
      </c>
      <c r="I46" s="91">
        <v>31</v>
      </c>
      <c r="J46" s="91" t="str">
        <f>LEFT(empreend_Fehidro[[#This Row],[suBpdc classifc]],1)</f>
        <v>3</v>
      </c>
      <c r="K46" s="140" t="str" cm="1">
        <f t="array" ref="K46">IF(empreend_Fehidro[[#This Row],[Devolvido?]] = "Não", _xlfn.XLOOKUP(empreend_Fehidro[[#This Row],[UGRHI]] &amp; empreend_Fehidro[[#This Row],[PDC class]], PAPI!A:A &amp; PAPI!B:B,PAPI!C:C, " PDC não prioritário no PAPI"), "n/a")</f>
        <v>Prioritário</v>
      </c>
      <c r="L46" s="289" t="s">
        <v>95</v>
      </c>
    </row>
    <row r="47" spans="1:12">
      <c r="A47" s="137">
        <f>VLOOKUP(E47,Dim_Colegiado[],2,FALSE)</f>
        <v>6</v>
      </c>
      <c r="B47" s="138" t="str">
        <f t="shared" si="0"/>
        <v>2020</v>
      </c>
      <c r="C47" s="139" t="s">
        <v>173</v>
      </c>
      <c r="D47" s="95"/>
      <c r="E47" s="95" t="s">
        <v>166</v>
      </c>
      <c r="F47" s="92">
        <v>4327359.2699999996</v>
      </c>
      <c r="G47" s="96" t="s">
        <v>101</v>
      </c>
      <c r="H47" s="72" t="s">
        <v>123</v>
      </c>
      <c r="I47" s="91">
        <v>72</v>
      </c>
      <c r="J47" s="91" t="str">
        <f>LEFT(empreend_Fehidro[[#This Row],[suBpdc classifc]],1)</f>
        <v>7</v>
      </c>
      <c r="K47" s="140" t="str" cm="1">
        <f t="array" ref="K47">IF(empreend_Fehidro[[#This Row],[Devolvido?]] = "Não", _xlfn.XLOOKUP(empreend_Fehidro[[#This Row],[UGRHI]] &amp; empreend_Fehidro[[#This Row],[PDC class]], PAPI!A:A &amp; PAPI!B:B,PAPI!C:C, " PDC não prioritário no PAPI"), "n/a")</f>
        <v>Prioritário</v>
      </c>
      <c r="L47" s="289" t="s">
        <v>95</v>
      </c>
    </row>
    <row r="48" spans="1:12">
      <c r="A48" s="142">
        <f>VLOOKUP(E48,Dim_Colegiado[],2,FALSE)</f>
        <v>6</v>
      </c>
      <c r="B48" s="143" t="str">
        <f t="shared" si="0"/>
        <v>2020</v>
      </c>
      <c r="C48" s="144" t="s">
        <v>174</v>
      </c>
      <c r="D48" s="91"/>
      <c r="E48" s="91" t="s">
        <v>166</v>
      </c>
      <c r="F48" s="88">
        <v>4007138.38</v>
      </c>
      <c r="G48" s="96" t="s">
        <v>101</v>
      </c>
      <c r="H48" s="72" t="s">
        <v>123</v>
      </c>
      <c r="I48" s="91">
        <v>72</v>
      </c>
      <c r="J48" s="91" t="str">
        <f>LEFT(empreend_Fehidro[[#This Row],[suBpdc classifc]],1)</f>
        <v>7</v>
      </c>
      <c r="K48" s="140" t="str" cm="1">
        <f t="array" ref="K48">IF(empreend_Fehidro[[#This Row],[Devolvido?]] = "Não", _xlfn.XLOOKUP(empreend_Fehidro[[#This Row],[UGRHI]] &amp; empreend_Fehidro[[#This Row],[PDC class]], PAPI!A:A &amp; PAPI!B:B,PAPI!C:C, " PDC não prioritário no PAPI"), "n/a")</f>
        <v>Prioritário</v>
      </c>
      <c r="L48" s="289" t="s">
        <v>95</v>
      </c>
    </row>
    <row r="49" spans="1:12">
      <c r="A49" s="137">
        <f>VLOOKUP(E49,Dim_Colegiado[],2,FALSE)</f>
        <v>6</v>
      </c>
      <c r="B49" s="138" t="str">
        <f t="shared" si="0"/>
        <v>2020</v>
      </c>
      <c r="C49" s="139" t="s">
        <v>175</v>
      </c>
      <c r="D49" s="95"/>
      <c r="E49" s="95" t="s">
        <v>166</v>
      </c>
      <c r="F49" s="92">
        <v>2824011.43</v>
      </c>
      <c r="G49" s="96" t="s">
        <v>101</v>
      </c>
      <c r="H49" s="72" t="s">
        <v>123</v>
      </c>
      <c r="I49" s="91">
        <v>31</v>
      </c>
      <c r="J49" s="91" t="str">
        <f>LEFT(empreend_Fehidro[[#This Row],[suBpdc classifc]],1)</f>
        <v>3</v>
      </c>
      <c r="K49" s="140" t="str" cm="1">
        <f t="array" ref="K49">IF(empreend_Fehidro[[#This Row],[Devolvido?]] = "Não", _xlfn.XLOOKUP(empreend_Fehidro[[#This Row],[UGRHI]] &amp; empreend_Fehidro[[#This Row],[PDC class]], PAPI!A:A &amp; PAPI!B:B,PAPI!C:C, " PDC não prioritário no PAPI"), "n/a")</f>
        <v>Prioritário</v>
      </c>
      <c r="L49" s="289" t="s">
        <v>95</v>
      </c>
    </row>
    <row r="50" spans="1:12">
      <c r="A50" s="142">
        <f>VLOOKUP(E50,Dim_Colegiado[],2,FALSE)</f>
        <v>6</v>
      </c>
      <c r="B50" s="143" t="str">
        <f t="shared" si="0"/>
        <v>2020</v>
      </c>
      <c r="C50" s="144" t="s">
        <v>176</v>
      </c>
      <c r="D50" s="91"/>
      <c r="E50" s="91" t="s">
        <v>166</v>
      </c>
      <c r="F50" s="88">
        <v>2632053.63</v>
      </c>
      <c r="G50" s="96" t="s">
        <v>101</v>
      </c>
      <c r="H50" s="72" t="s">
        <v>123</v>
      </c>
      <c r="I50" s="91">
        <v>72</v>
      </c>
      <c r="J50" s="91" t="str">
        <f>LEFT(empreend_Fehidro[[#This Row],[suBpdc classifc]],1)</f>
        <v>7</v>
      </c>
      <c r="K50" s="140" t="str" cm="1">
        <f t="array" ref="K50">IF(empreend_Fehidro[[#This Row],[Devolvido?]] = "Não", _xlfn.XLOOKUP(empreend_Fehidro[[#This Row],[UGRHI]] &amp; empreend_Fehidro[[#This Row],[PDC class]], PAPI!A:A &amp; PAPI!B:B,PAPI!C:C, " PDC não prioritário no PAPI"), "n/a")</f>
        <v>Prioritário</v>
      </c>
      <c r="L50" s="289" t="s">
        <v>95</v>
      </c>
    </row>
    <row r="51" spans="1:12">
      <c r="A51" s="137">
        <f>VLOOKUP(E51,Dim_Colegiado[],2,FALSE)</f>
        <v>6</v>
      </c>
      <c r="B51" s="138" t="str">
        <f t="shared" si="0"/>
        <v>2020</v>
      </c>
      <c r="C51" s="139" t="s">
        <v>177</v>
      </c>
      <c r="D51" s="95"/>
      <c r="E51" s="95" t="s">
        <v>166</v>
      </c>
      <c r="F51" s="92">
        <v>1895196.6</v>
      </c>
      <c r="G51" s="96" t="s">
        <v>101</v>
      </c>
      <c r="H51" s="72" t="s">
        <v>123</v>
      </c>
      <c r="I51" s="91">
        <v>32</v>
      </c>
      <c r="J51" s="91" t="str">
        <f>LEFT(empreend_Fehidro[[#This Row],[suBpdc classifc]],1)</f>
        <v>3</v>
      </c>
      <c r="K51" s="140" t="str" cm="1">
        <f t="array" ref="K51">IF(empreend_Fehidro[[#This Row],[Devolvido?]] = "Não", _xlfn.XLOOKUP(empreend_Fehidro[[#This Row],[UGRHI]] &amp; empreend_Fehidro[[#This Row],[PDC class]], PAPI!A:A &amp; PAPI!B:B,PAPI!C:C, " PDC não prioritário no PAPI"), "n/a")</f>
        <v>Prioritário</v>
      </c>
      <c r="L51" s="289" t="s">
        <v>95</v>
      </c>
    </row>
    <row r="52" spans="1:12">
      <c r="A52" s="142">
        <f>VLOOKUP(E52,Dim_Colegiado[],2,FALSE)</f>
        <v>6</v>
      </c>
      <c r="B52" s="143" t="str">
        <f t="shared" si="0"/>
        <v>2020</v>
      </c>
      <c r="C52" s="144" t="s">
        <v>178</v>
      </c>
      <c r="D52" s="91"/>
      <c r="E52" s="91" t="s">
        <v>166</v>
      </c>
      <c r="F52" s="88">
        <v>1696000</v>
      </c>
      <c r="G52" s="96" t="s">
        <v>101</v>
      </c>
      <c r="H52" s="72" t="s">
        <v>123</v>
      </c>
      <c r="I52" s="91">
        <v>11</v>
      </c>
      <c r="J52" s="91" t="str">
        <f>LEFT(empreend_Fehidro[[#This Row],[suBpdc classifc]],1)</f>
        <v>1</v>
      </c>
      <c r="K52" s="140" t="str" cm="1">
        <f t="array" ref="K52">IF(empreend_Fehidro[[#This Row],[Devolvido?]] = "Não", _xlfn.XLOOKUP(empreend_Fehidro[[#This Row],[UGRHI]] &amp; empreend_Fehidro[[#This Row],[PDC class]], PAPI!A:A &amp; PAPI!B:B,PAPI!C:C, " PDC não prioritário no PAPI"), "n/a")</f>
        <v>PDC 1 e 2</v>
      </c>
      <c r="L52" s="289" t="s">
        <v>96</v>
      </c>
    </row>
    <row r="53" spans="1:12">
      <c r="A53" s="137">
        <f>VLOOKUP(E53,Dim_Colegiado[],2,FALSE)</f>
        <v>6</v>
      </c>
      <c r="B53" s="138" t="str">
        <f t="shared" si="0"/>
        <v>2020</v>
      </c>
      <c r="C53" s="139" t="s">
        <v>179</v>
      </c>
      <c r="D53" s="95"/>
      <c r="E53" s="95" t="s">
        <v>166</v>
      </c>
      <c r="F53" s="92">
        <v>1672330.51</v>
      </c>
      <c r="G53" s="96" t="s">
        <v>101</v>
      </c>
      <c r="H53" s="72" t="s">
        <v>123</v>
      </c>
      <c r="I53" s="91">
        <v>32</v>
      </c>
      <c r="J53" s="91" t="str">
        <f>LEFT(empreend_Fehidro[[#This Row],[suBpdc classifc]],1)</f>
        <v>3</v>
      </c>
      <c r="K53" s="140" t="str" cm="1">
        <f t="array" ref="K53">IF(empreend_Fehidro[[#This Row],[Devolvido?]] = "Não", _xlfn.XLOOKUP(empreend_Fehidro[[#This Row],[UGRHI]] &amp; empreend_Fehidro[[#This Row],[PDC class]], PAPI!A:A &amp; PAPI!B:B,PAPI!C:C, " PDC não prioritário no PAPI"), "n/a")</f>
        <v>Prioritário</v>
      </c>
      <c r="L53" s="289" t="s">
        <v>95</v>
      </c>
    </row>
    <row r="54" spans="1:12">
      <c r="A54" s="142">
        <f>VLOOKUP(E54,Dim_Colegiado[],2,FALSE)</f>
        <v>6</v>
      </c>
      <c r="B54" s="143" t="str">
        <f t="shared" si="0"/>
        <v>2020</v>
      </c>
      <c r="C54" s="144" t="s">
        <v>180</v>
      </c>
      <c r="D54" s="91"/>
      <c r="E54" s="91" t="s">
        <v>166</v>
      </c>
      <c r="F54" s="88">
        <v>1526314.29</v>
      </c>
      <c r="G54" s="96" t="s">
        <v>101</v>
      </c>
      <c r="H54" s="72" t="s">
        <v>123</v>
      </c>
      <c r="I54" s="91">
        <v>72</v>
      </c>
      <c r="J54" s="91" t="str">
        <f>LEFT(empreend_Fehidro[[#This Row],[suBpdc classifc]],1)</f>
        <v>7</v>
      </c>
      <c r="K54" s="140" t="str" cm="1">
        <f t="array" ref="K54">IF(empreend_Fehidro[[#This Row],[Devolvido?]] = "Não", _xlfn.XLOOKUP(empreend_Fehidro[[#This Row],[UGRHI]] &amp; empreend_Fehidro[[#This Row],[PDC class]], PAPI!A:A &amp; PAPI!B:B,PAPI!C:C, " PDC não prioritário no PAPI"), "n/a")</f>
        <v>Prioritário</v>
      </c>
      <c r="L54" s="289" t="s">
        <v>95</v>
      </c>
    </row>
    <row r="55" spans="1:12">
      <c r="A55" s="137">
        <f>VLOOKUP(E55,Dim_Colegiado[],2,FALSE)</f>
        <v>6</v>
      </c>
      <c r="B55" s="138" t="str">
        <f t="shared" si="0"/>
        <v>2020</v>
      </c>
      <c r="C55" s="139" t="s">
        <v>181</v>
      </c>
      <c r="D55" s="95"/>
      <c r="E55" s="95" t="s">
        <v>166</v>
      </c>
      <c r="F55" s="92">
        <v>1506644.17</v>
      </c>
      <c r="G55" s="96" t="s">
        <v>101</v>
      </c>
      <c r="H55" s="72" t="s">
        <v>123</v>
      </c>
      <c r="I55" s="91">
        <v>31</v>
      </c>
      <c r="J55" s="91" t="str">
        <f>LEFT(empreend_Fehidro[[#This Row],[suBpdc classifc]],1)</f>
        <v>3</v>
      </c>
      <c r="K55" s="140" t="str" cm="1">
        <f t="array" ref="K55">IF(empreend_Fehidro[[#This Row],[Devolvido?]] = "Não", _xlfn.XLOOKUP(empreend_Fehidro[[#This Row],[UGRHI]] &amp; empreend_Fehidro[[#This Row],[PDC class]], PAPI!A:A &amp; PAPI!B:B,PAPI!C:C, " PDC não prioritário no PAPI"), "n/a")</f>
        <v>Prioritário</v>
      </c>
      <c r="L55" s="289" t="s">
        <v>95</v>
      </c>
    </row>
    <row r="56" spans="1:12">
      <c r="A56" s="142">
        <f>VLOOKUP(E56,Dim_Colegiado[],2,FALSE)</f>
        <v>6</v>
      </c>
      <c r="B56" s="143" t="str">
        <f t="shared" si="0"/>
        <v>2020</v>
      </c>
      <c r="C56" s="144" t="s">
        <v>182</v>
      </c>
      <c r="D56" s="91"/>
      <c r="E56" s="91" t="s">
        <v>166</v>
      </c>
      <c r="F56" s="88">
        <v>1500000</v>
      </c>
      <c r="G56" s="96" t="s">
        <v>101</v>
      </c>
      <c r="H56" s="72" t="s">
        <v>123</v>
      </c>
      <c r="I56" s="91">
        <v>15</v>
      </c>
      <c r="J56" s="91" t="str">
        <f>LEFT(empreend_Fehidro[[#This Row],[suBpdc classifc]],1)</f>
        <v>1</v>
      </c>
      <c r="K56" s="140" t="str" cm="1">
        <f t="array" ref="K56">IF(empreend_Fehidro[[#This Row],[Devolvido?]] = "Não", _xlfn.XLOOKUP(empreend_Fehidro[[#This Row],[UGRHI]] &amp; empreend_Fehidro[[#This Row],[PDC class]], PAPI!A:A &amp; PAPI!B:B,PAPI!C:C, " PDC não prioritário no PAPI"), "n/a")</f>
        <v>PDC 1 e 2</v>
      </c>
      <c r="L56" s="289" t="s">
        <v>96</v>
      </c>
    </row>
    <row r="57" spans="1:12">
      <c r="A57" s="137">
        <f>VLOOKUP(E57,Dim_Colegiado[],2,FALSE)</f>
        <v>6</v>
      </c>
      <c r="B57" s="138" t="str">
        <f t="shared" si="0"/>
        <v>2020</v>
      </c>
      <c r="C57" s="139" t="s">
        <v>183</v>
      </c>
      <c r="D57" s="95"/>
      <c r="E57" s="95" t="s">
        <v>166</v>
      </c>
      <c r="F57" s="92">
        <v>1411331.06</v>
      </c>
      <c r="G57" s="96" t="s">
        <v>101</v>
      </c>
      <c r="H57" s="72" t="s">
        <v>123</v>
      </c>
      <c r="I57" s="91">
        <v>72</v>
      </c>
      <c r="J57" s="91" t="str">
        <f>LEFT(empreend_Fehidro[[#This Row],[suBpdc classifc]],1)</f>
        <v>7</v>
      </c>
      <c r="K57" s="140" t="str" cm="1">
        <f t="array" ref="K57">IF(empreend_Fehidro[[#This Row],[Devolvido?]] = "Não", _xlfn.XLOOKUP(empreend_Fehidro[[#This Row],[UGRHI]] &amp; empreend_Fehidro[[#This Row],[PDC class]], PAPI!A:A &amp; PAPI!B:B,PAPI!C:C, " PDC não prioritário no PAPI"), "n/a")</f>
        <v>Prioritário</v>
      </c>
      <c r="L57" s="289" t="s">
        <v>95</v>
      </c>
    </row>
    <row r="58" spans="1:12">
      <c r="A58" s="142">
        <f>VLOOKUP(E58,Dim_Colegiado[],2,FALSE)</f>
        <v>6</v>
      </c>
      <c r="B58" s="143" t="str">
        <f t="shared" si="0"/>
        <v>2020</v>
      </c>
      <c r="C58" s="144" t="s">
        <v>184</v>
      </c>
      <c r="D58" s="91"/>
      <c r="E58" s="91" t="s">
        <v>166</v>
      </c>
      <c r="F58" s="88">
        <v>1343238.93</v>
      </c>
      <c r="G58" s="96" t="s">
        <v>101</v>
      </c>
      <c r="H58" s="72" t="s">
        <v>123</v>
      </c>
      <c r="I58" s="91">
        <v>72</v>
      </c>
      <c r="J58" s="91" t="str">
        <f>LEFT(empreend_Fehidro[[#This Row],[suBpdc classifc]],1)</f>
        <v>7</v>
      </c>
      <c r="K58" s="140" t="str" cm="1">
        <f t="array" ref="K58">IF(empreend_Fehidro[[#This Row],[Devolvido?]] = "Não", _xlfn.XLOOKUP(empreend_Fehidro[[#This Row],[UGRHI]] &amp; empreend_Fehidro[[#This Row],[PDC class]], PAPI!A:A &amp; PAPI!B:B,PAPI!C:C, " PDC não prioritário no PAPI"), "n/a")</f>
        <v>Prioritário</v>
      </c>
      <c r="L58" s="289" t="s">
        <v>95</v>
      </c>
    </row>
    <row r="59" spans="1:12">
      <c r="A59" s="137">
        <f>VLOOKUP(E59,Dim_Colegiado[],2,FALSE)</f>
        <v>6</v>
      </c>
      <c r="B59" s="138" t="str">
        <f t="shared" si="0"/>
        <v>2020</v>
      </c>
      <c r="C59" s="139" t="s">
        <v>185</v>
      </c>
      <c r="D59" s="95"/>
      <c r="E59" s="95" t="s">
        <v>166</v>
      </c>
      <c r="F59" s="92">
        <v>1307002.6499999999</v>
      </c>
      <c r="G59" s="96" t="s">
        <v>101</v>
      </c>
      <c r="H59" s="72" t="s">
        <v>123</v>
      </c>
      <c r="I59" s="91">
        <v>72</v>
      </c>
      <c r="J59" s="91" t="str">
        <f>LEFT(empreend_Fehidro[[#This Row],[suBpdc classifc]],1)</f>
        <v>7</v>
      </c>
      <c r="K59" s="140" t="str" cm="1">
        <f t="array" ref="K59">IF(empreend_Fehidro[[#This Row],[Devolvido?]] = "Não", _xlfn.XLOOKUP(empreend_Fehidro[[#This Row],[UGRHI]] &amp; empreend_Fehidro[[#This Row],[PDC class]], PAPI!A:A &amp; PAPI!B:B,PAPI!C:C, " PDC não prioritário no PAPI"), "n/a")</f>
        <v>Prioritário</v>
      </c>
      <c r="L59" s="289" t="s">
        <v>95</v>
      </c>
    </row>
    <row r="60" spans="1:12">
      <c r="A60" s="142">
        <f>VLOOKUP(E60,Dim_Colegiado[],2,FALSE)</f>
        <v>6</v>
      </c>
      <c r="B60" s="143" t="str">
        <f t="shared" si="0"/>
        <v>2020</v>
      </c>
      <c r="C60" s="144" t="s">
        <v>186</v>
      </c>
      <c r="D60" s="91"/>
      <c r="E60" s="91" t="s">
        <v>166</v>
      </c>
      <c r="F60" s="88">
        <v>1122228.31</v>
      </c>
      <c r="G60" s="96" t="s">
        <v>101</v>
      </c>
      <c r="H60" s="72" t="s">
        <v>123</v>
      </c>
      <c r="I60" s="91">
        <v>72</v>
      </c>
      <c r="J60" s="91" t="str">
        <f>LEFT(empreend_Fehidro[[#This Row],[suBpdc classifc]],1)</f>
        <v>7</v>
      </c>
      <c r="K60" s="140" t="str" cm="1">
        <f t="array" ref="K60">IF(empreend_Fehidro[[#This Row],[Devolvido?]] = "Não", _xlfn.XLOOKUP(empreend_Fehidro[[#This Row],[UGRHI]] &amp; empreend_Fehidro[[#This Row],[PDC class]], PAPI!A:A &amp; PAPI!B:B,PAPI!C:C, " PDC não prioritário no PAPI"), "n/a")</f>
        <v>Prioritário</v>
      </c>
      <c r="L60" s="289" t="s">
        <v>95</v>
      </c>
    </row>
    <row r="61" spans="1:12">
      <c r="A61" s="137">
        <f>VLOOKUP(E61,Dim_Colegiado[],2,FALSE)</f>
        <v>6</v>
      </c>
      <c r="B61" s="138" t="str">
        <f t="shared" si="0"/>
        <v>2020</v>
      </c>
      <c r="C61" s="139" t="s">
        <v>187</v>
      </c>
      <c r="D61" s="95"/>
      <c r="E61" s="95" t="s">
        <v>166</v>
      </c>
      <c r="F61" s="92">
        <v>934892.11</v>
      </c>
      <c r="G61" s="96" t="s">
        <v>101</v>
      </c>
      <c r="H61" s="72" t="s">
        <v>123</v>
      </c>
      <c r="I61" s="91">
        <v>31</v>
      </c>
      <c r="J61" s="91" t="str">
        <f>LEFT(empreend_Fehidro[[#This Row],[suBpdc classifc]],1)</f>
        <v>3</v>
      </c>
      <c r="K61" s="140" t="str" cm="1">
        <f t="array" ref="K61">IF(empreend_Fehidro[[#This Row],[Devolvido?]] = "Não", _xlfn.XLOOKUP(empreend_Fehidro[[#This Row],[UGRHI]] &amp; empreend_Fehidro[[#This Row],[PDC class]], PAPI!A:A &amp; PAPI!B:B,PAPI!C:C, " PDC não prioritário no PAPI"), "n/a")</f>
        <v>Prioritário</v>
      </c>
      <c r="L61" s="289" t="s">
        <v>95</v>
      </c>
    </row>
    <row r="62" spans="1:12">
      <c r="A62" s="142">
        <f>VLOOKUP(E62,Dim_Colegiado[],2,FALSE)</f>
        <v>6</v>
      </c>
      <c r="B62" s="143" t="str">
        <f t="shared" si="0"/>
        <v>2020</v>
      </c>
      <c r="C62" s="144" t="s">
        <v>188</v>
      </c>
      <c r="D62" s="91"/>
      <c r="E62" s="91" t="s">
        <v>166</v>
      </c>
      <c r="F62" s="88">
        <v>686535.49</v>
      </c>
      <c r="G62" s="96" t="s">
        <v>101</v>
      </c>
      <c r="H62" s="72" t="s">
        <v>123</v>
      </c>
      <c r="I62" s="91">
        <v>81</v>
      </c>
      <c r="J62" s="91" t="str">
        <f>LEFT(empreend_Fehidro[[#This Row],[suBpdc classifc]],1)</f>
        <v>8</v>
      </c>
      <c r="K62" s="140" t="str" cm="1">
        <f t="array" ref="K62">IF(empreend_Fehidro[[#This Row],[Devolvido?]] = "Não", _xlfn.XLOOKUP(empreend_Fehidro[[#This Row],[UGRHI]] &amp; empreend_Fehidro[[#This Row],[PDC class]], PAPI!A:A &amp; PAPI!B:B,PAPI!C:C, " PDC não prioritário no PAPI"), "n/a")</f>
        <v>Não prioritário</v>
      </c>
      <c r="L62" s="289" t="s">
        <v>96</v>
      </c>
    </row>
    <row r="63" spans="1:12">
      <c r="A63" s="137">
        <f>VLOOKUP(E63,Dim_Colegiado[],2,FALSE)</f>
        <v>6</v>
      </c>
      <c r="B63" s="138" t="str">
        <f t="shared" si="0"/>
        <v>2020</v>
      </c>
      <c r="C63" s="139" t="s">
        <v>189</v>
      </c>
      <c r="D63" s="95"/>
      <c r="E63" s="95" t="s">
        <v>166</v>
      </c>
      <c r="F63" s="92">
        <v>597104.98</v>
      </c>
      <c r="G63" s="96" t="s">
        <v>101</v>
      </c>
      <c r="H63" s="72" t="s">
        <v>123</v>
      </c>
      <c r="I63" s="91">
        <v>72</v>
      </c>
      <c r="J63" s="91" t="str">
        <f>LEFT(empreend_Fehidro[[#This Row],[suBpdc classifc]],1)</f>
        <v>7</v>
      </c>
      <c r="K63" s="140" t="str" cm="1">
        <f t="array" ref="K63">IF(empreend_Fehidro[[#This Row],[Devolvido?]] = "Não", _xlfn.XLOOKUP(empreend_Fehidro[[#This Row],[UGRHI]] &amp; empreend_Fehidro[[#This Row],[PDC class]], PAPI!A:A &amp; PAPI!B:B,PAPI!C:C, " PDC não prioritário no PAPI"), "n/a")</f>
        <v>Prioritário</v>
      </c>
      <c r="L63" s="289" t="s">
        <v>95</v>
      </c>
    </row>
    <row r="64" spans="1:12">
      <c r="A64" s="142">
        <f>VLOOKUP(E64,Dim_Colegiado[],2,FALSE)</f>
        <v>6</v>
      </c>
      <c r="B64" s="143" t="str">
        <f t="shared" si="0"/>
        <v>2020</v>
      </c>
      <c r="C64" s="144" t="s">
        <v>190</v>
      </c>
      <c r="D64" s="91"/>
      <c r="E64" s="91" t="s">
        <v>166</v>
      </c>
      <c r="F64" s="88">
        <v>561207</v>
      </c>
      <c r="G64" s="96" t="s">
        <v>101</v>
      </c>
      <c r="H64" s="72" t="s">
        <v>123</v>
      </c>
      <c r="I64" s="91">
        <v>14</v>
      </c>
      <c r="J64" s="91" t="str">
        <f>LEFT(empreend_Fehidro[[#This Row],[suBpdc classifc]],1)</f>
        <v>1</v>
      </c>
      <c r="K64" s="140" t="str" cm="1">
        <f t="array" ref="K64">IF(empreend_Fehidro[[#This Row],[Devolvido?]] = "Não", _xlfn.XLOOKUP(empreend_Fehidro[[#This Row],[UGRHI]] &amp; empreend_Fehidro[[#This Row],[PDC class]], PAPI!A:A &amp; PAPI!B:B,PAPI!C:C, " PDC não prioritário no PAPI"), "n/a")</f>
        <v>PDC 1 e 2</v>
      </c>
      <c r="L64" s="289" t="s">
        <v>95</v>
      </c>
    </row>
    <row r="65" spans="1:12">
      <c r="A65" s="137">
        <f>VLOOKUP(E65,Dim_Colegiado[],2,FALSE)</f>
        <v>6</v>
      </c>
      <c r="B65" s="138" t="str">
        <f t="shared" si="0"/>
        <v>2020</v>
      </c>
      <c r="C65" s="139" t="s">
        <v>191</v>
      </c>
      <c r="D65" s="95"/>
      <c r="E65" s="95" t="s">
        <v>166</v>
      </c>
      <c r="F65" s="92">
        <v>476601.21</v>
      </c>
      <c r="G65" s="96" t="s">
        <v>101</v>
      </c>
      <c r="H65" s="72" t="s">
        <v>123</v>
      </c>
      <c r="I65" s="91">
        <v>81</v>
      </c>
      <c r="J65" s="91" t="str">
        <f>LEFT(empreend_Fehidro[[#This Row],[suBpdc classifc]],1)</f>
        <v>8</v>
      </c>
      <c r="K65" s="140" t="str" cm="1">
        <f t="array" ref="K65">IF(empreend_Fehidro[[#This Row],[Devolvido?]] = "Não", _xlfn.XLOOKUP(empreend_Fehidro[[#This Row],[UGRHI]] &amp; empreend_Fehidro[[#This Row],[PDC class]], PAPI!A:A &amp; PAPI!B:B,PAPI!C:C, " PDC não prioritário no PAPI"), "n/a")</f>
        <v>Não prioritário</v>
      </c>
      <c r="L65" s="289" t="s">
        <v>96</v>
      </c>
    </row>
    <row r="66" spans="1:12">
      <c r="A66" s="142">
        <f>VLOOKUP(E66,Dim_Colegiado[],2,FALSE)</f>
        <v>6</v>
      </c>
      <c r="B66" s="143" t="str">
        <f t="shared" ref="B66:B129" si="1">LEFT(C66,4)</f>
        <v>2020</v>
      </c>
      <c r="C66" s="144" t="s">
        <v>192</v>
      </c>
      <c r="D66" s="91"/>
      <c r="E66" s="91" t="s">
        <v>166</v>
      </c>
      <c r="F66" s="88">
        <v>427043</v>
      </c>
      <c r="G66" s="96" t="s">
        <v>101</v>
      </c>
      <c r="H66" s="72" t="s">
        <v>123</v>
      </c>
      <c r="I66" s="91">
        <v>81</v>
      </c>
      <c r="J66" s="91" t="str">
        <f>LEFT(empreend_Fehidro[[#This Row],[suBpdc classifc]],1)</f>
        <v>8</v>
      </c>
      <c r="K66" s="140" t="str" cm="1">
        <f t="array" ref="K66">IF(empreend_Fehidro[[#This Row],[Devolvido?]] = "Não", _xlfn.XLOOKUP(empreend_Fehidro[[#This Row],[UGRHI]] &amp; empreend_Fehidro[[#This Row],[PDC class]], PAPI!A:A &amp; PAPI!B:B,PAPI!C:C, " PDC não prioritário no PAPI"), "n/a")</f>
        <v>Não prioritário</v>
      </c>
      <c r="L66" s="289" t="s">
        <v>96</v>
      </c>
    </row>
    <row r="67" spans="1:12">
      <c r="A67" s="137">
        <f>VLOOKUP(E67,Dim_Colegiado[],2,FALSE)</f>
        <v>6</v>
      </c>
      <c r="B67" s="138" t="str">
        <f t="shared" si="1"/>
        <v>2020</v>
      </c>
      <c r="C67" s="139" t="s">
        <v>193</v>
      </c>
      <c r="D67" s="95"/>
      <c r="E67" s="95" t="s">
        <v>166</v>
      </c>
      <c r="F67" s="92">
        <v>412497.37</v>
      </c>
      <c r="G67" s="96" t="s">
        <v>101</v>
      </c>
      <c r="H67" s="72" t="s">
        <v>123</v>
      </c>
      <c r="I67" s="91">
        <v>12</v>
      </c>
      <c r="J67" s="91" t="str">
        <f>LEFT(empreend_Fehidro[[#This Row],[suBpdc classifc]],1)</f>
        <v>1</v>
      </c>
      <c r="K67" s="140" t="str" cm="1">
        <f t="array" ref="K67">IF(empreend_Fehidro[[#This Row],[Devolvido?]] = "Não", _xlfn.XLOOKUP(empreend_Fehidro[[#This Row],[UGRHI]] &amp; empreend_Fehidro[[#This Row],[PDC class]], PAPI!A:A &amp; PAPI!B:B,PAPI!C:C, " PDC não prioritário no PAPI"), "n/a")</f>
        <v>PDC 1 e 2</v>
      </c>
      <c r="L67" s="289" t="s">
        <v>96</v>
      </c>
    </row>
    <row r="68" spans="1:12">
      <c r="A68" s="142">
        <f>VLOOKUP(E68,Dim_Colegiado[],2,FALSE)</f>
        <v>6</v>
      </c>
      <c r="B68" s="143" t="str">
        <f t="shared" si="1"/>
        <v>2020</v>
      </c>
      <c r="C68" s="144" t="s">
        <v>194</v>
      </c>
      <c r="D68" s="91"/>
      <c r="E68" s="91" t="s">
        <v>166</v>
      </c>
      <c r="F68" s="88">
        <v>323639.31</v>
      </c>
      <c r="G68" s="96" t="s">
        <v>101</v>
      </c>
      <c r="H68" s="72" t="s">
        <v>123</v>
      </c>
      <c r="I68" s="91">
        <v>72</v>
      </c>
      <c r="J68" s="91" t="str">
        <f>LEFT(empreend_Fehidro[[#This Row],[suBpdc classifc]],1)</f>
        <v>7</v>
      </c>
      <c r="K68" s="140" t="str" cm="1">
        <f t="array" ref="K68">IF(empreend_Fehidro[[#This Row],[Devolvido?]] = "Não", _xlfn.XLOOKUP(empreend_Fehidro[[#This Row],[UGRHI]] &amp; empreend_Fehidro[[#This Row],[PDC class]], PAPI!A:A &amp; PAPI!B:B,PAPI!C:C, " PDC não prioritário no PAPI"), "n/a")</f>
        <v>Prioritário</v>
      </c>
      <c r="L68" s="289" t="s">
        <v>95</v>
      </c>
    </row>
    <row r="69" spans="1:12">
      <c r="A69" s="142">
        <f>VLOOKUP(E69,Dim_Colegiado[],2,FALSE)</f>
        <v>7</v>
      </c>
      <c r="B69" s="143" t="str">
        <f t="shared" si="1"/>
        <v>2020</v>
      </c>
      <c r="C69" s="144" t="s">
        <v>195</v>
      </c>
      <c r="D69" s="91"/>
      <c r="E69" s="91" t="s">
        <v>196</v>
      </c>
      <c r="F69" s="88">
        <v>1600000</v>
      </c>
      <c r="G69" s="96" t="s">
        <v>101</v>
      </c>
      <c r="H69" s="72" t="s">
        <v>123</v>
      </c>
      <c r="I69" s="91">
        <v>72</v>
      </c>
      <c r="J69" s="91" t="str">
        <f>LEFT(empreend_Fehidro[[#This Row],[suBpdc classifc]],1)</f>
        <v>7</v>
      </c>
      <c r="K69" s="140" t="str" cm="1">
        <f t="array" ref="K69">IF(empreend_Fehidro[[#This Row],[Devolvido?]] = "Não", _xlfn.XLOOKUP(empreend_Fehidro[[#This Row],[UGRHI]] &amp; empreend_Fehidro[[#This Row],[PDC class]], PAPI!A:A &amp; PAPI!B:B,PAPI!C:C, " PDC não prioritário no PAPI"), "n/a")</f>
        <v>Prioritário</v>
      </c>
      <c r="L69" s="289" t="s">
        <v>95</v>
      </c>
    </row>
    <row r="70" spans="1:12">
      <c r="A70" s="137">
        <f>VLOOKUP(E70,Dim_Colegiado[],2,FALSE)</f>
        <v>7</v>
      </c>
      <c r="B70" s="138" t="str">
        <f t="shared" si="1"/>
        <v>2020</v>
      </c>
      <c r="C70" s="139" t="s">
        <v>197</v>
      </c>
      <c r="D70" s="95"/>
      <c r="E70" s="95" t="s">
        <v>196</v>
      </c>
      <c r="F70" s="92">
        <v>1600000</v>
      </c>
      <c r="G70" s="96" t="s">
        <v>101</v>
      </c>
      <c r="H70" s="72" t="s">
        <v>123</v>
      </c>
      <c r="I70" s="91">
        <v>72</v>
      </c>
      <c r="J70" s="91" t="str">
        <f>LEFT(empreend_Fehidro[[#This Row],[suBpdc classifc]],1)</f>
        <v>7</v>
      </c>
      <c r="K70" s="140" t="str" cm="1">
        <f t="array" ref="K70">IF(empreend_Fehidro[[#This Row],[Devolvido?]] = "Não", _xlfn.XLOOKUP(empreend_Fehidro[[#This Row],[UGRHI]] &amp; empreend_Fehidro[[#This Row],[PDC class]], PAPI!A:A &amp; PAPI!B:B,PAPI!C:C, " PDC não prioritário no PAPI"), "n/a")</f>
        <v>Prioritário</v>
      </c>
      <c r="L70" s="289" t="s">
        <v>95</v>
      </c>
    </row>
    <row r="71" spans="1:12">
      <c r="A71" s="142">
        <f>VLOOKUP(E71,Dim_Colegiado[],2,FALSE)</f>
        <v>7</v>
      </c>
      <c r="B71" s="143" t="str">
        <f t="shared" si="1"/>
        <v>2020</v>
      </c>
      <c r="C71" s="144" t="s">
        <v>198</v>
      </c>
      <c r="D71" s="91"/>
      <c r="E71" s="91" t="s">
        <v>196</v>
      </c>
      <c r="F71" s="88">
        <v>1369923.89</v>
      </c>
      <c r="G71" s="96" t="s">
        <v>101</v>
      </c>
      <c r="H71" s="72" t="s">
        <v>123</v>
      </c>
      <c r="I71" s="91">
        <v>72</v>
      </c>
      <c r="J71" s="91" t="str">
        <f>LEFT(empreend_Fehidro[[#This Row],[suBpdc classifc]],1)</f>
        <v>7</v>
      </c>
      <c r="K71" s="140" t="str" cm="1">
        <f t="array" ref="K71">IF(empreend_Fehidro[[#This Row],[Devolvido?]] = "Não", _xlfn.XLOOKUP(empreend_Fehidro[[#This Row],[UGRHI]] &amp; empreend_Fehidro[[#This Row],[PDC class]], PAPI!A:A &amp; PAPI!B:B,PAPI!C:C, " PDC não prioritário no PAPI"), "n/a")</f>
        <v>Prioritário</v>
      </c>
      <c r="L71" s="289" t="s">
        <v>95</v>
      </c>
    </row>
    <row r="72" spans="1:12">
      <c r="A72" s="137">
        <f>VLOOKUP(E72,Dim_Colegiado[],2,FALSE)</f>
        <v>7</v>
      </c>
      <c r="B72" s="138" t="str">
        <f t="shared" si="1"/>
        <v>2020</v>
      </c>
      <c r="C72" s="139" t="s">
        <v>199</v>
      </c>
      <c r="D72" s="95"/>
      <c r="E72" s="95" t="s">
        <v>196</v>
      </c>
      <c r="F72" s="92">
        <v>397000</v>
      </c>
      <c r="G72" s="96" t="s">
        <v>101</v>
      </c>
      <c r="H72" s="72" t="s">
        <v>123</v>
      </c>
      <c r="I72" s="91">
        <v>14</v>
      </c>
      <c r="J72" s="91" t="str">
        <f>LEFT(empreend_Fehidro[[#This Row],[suBpdc classifc]],1)</f>
        <v>1</v>
      </c>
      <c r="K72" s="140" t="str" cm="1">
        <f t="array" ref="K72">IF(empreend_Fehidro[[#This Row],[Devolvido?]] = "Não", _xlfn.XLOOKUP(empreend_Fehidro[[#This Row],[UGRHI]] &amp; empreend_Fehidro[[#This Row],[PDC class]], PAPI!A:A &amp; PAPI!B:B,PAPI!C:C, " PDC não prioritário no PAPI"), "n/a")</f>
        <v>PDC 1 e 2</v>
      </c>
      <c r="L72" s="289" t="s">
        <v>95</v>
      </c>
    </row>
    <row r="73" spans="1:12">
      <c r="A73" s="142">
        <f>VLOOKUP(E73,Dim_Colegiado[],2,FALSE)</f>
        <v>7</v>
      </c>
      <c r="B73" s="143" t="str">
        <f t="shared" si="1"/>
        <v>2020</v>
      </c>
      <c r="C73" s="144" t="s">
        <v>200</v>
      </c>
      <c r="D73" s="91"/>
      <c r="E73" s="91" t="s">
        <v>196</v>
      </c>
      <c r="F73" s="88">
        <v>378165.51</v>
      </c>
      <c r="G73" s="96" t="s">
        <v>101</v>
      </c>
      <c r="H73" s="72" t="s">
        <v>123</v>
      </c>
      <c r="I73" s="91">
        <v>33</v>
      </c>
      <c r="J73" s="91" t="str">
        <f>LEFT(empreend_Fehidro[[#This Row],[suBpdc classifc]],1)</f>
        <v>3</v>
      </c>
      <c r="K73" s="140" t="str" cm="1">
        <f t="array" ref="K73">IF(empreend_Fehidro[[#This Row],[Devolvido?]] = "Não", _xlfn.XLOOKUP(empreend_Fehidro[[#This Row],[UGRHI]] &amp; empreend_Fehidro[[#This Row],[PDC class]], PAPI!A:A &amp; PAPI!B:B,PAPI!C:C, " PDC não prioritário no PAPI"), "n/a")</f>
        <v>Prioritário</v>
      </c>
      <c r="L73" s="289" t="s">
        <v>95</v>
      </c>
    </row>
    <row r="74" spans="1:12">
      <c r="A74" s="137">
        <f>VLOOKUP(E74,Dim_Colegiado[],2,FALSE)</f>
        <v>7</v>
      </c>
      <c r="B74" s="138" t="str">
        <f t="shared" si="1"/>
        <v>2020</v>
      </c>
      <c r="C74" s="139" t="s">
        <v>201</v>
      </c>
      <c r="D74" s="95"/>
      <c r="E74" s="95" t="s">
        <v>196</v>
      </c>
      <c r="F74" s="92">
        <v>150000</v>
      </c>
      <c r="G74" s="96" t="s">
        <v>101</v>
      </c>
      <c r="H74" s="72" t="s">
        <v>123</v>
      </c>
      <c r="I74" s="91">
        <v>83</v>
      </c>
      <c r="J74" s="91" t="str">
        <f>LEFT(empreend_Fehidro[[#This Row],[suBpdc classifc]],1)</f>
        <v>8</v>
      </c>
      <c r="K74" s="140" t="str" cm="1">
        <f t="array" ref="K74">IF(empreend_Fehidro[[#This Row],[Devolvido?]] = "Não", _xlfn.XLOOKUP(empreend_Fehidro[[#This Row],[UGRHI]] &amp; empreend_Fehidro[[#This Row],[PDC class]], PAPI!A:A &amp; PAPI!B:B,PAPI!C:C, " PDC não prioritário no PAPI"), "n/a")</f>
        <v>Não prioritário</v>
      </c>
      <c r="L74" s="289" t="s">
        <v>96</v>
      </c>
    </row>
    <row r="75" spans="1:12" s="141" customFormat="1">
      <c r="A75" s="137">
        <f>VLOOKUP(E75,Dim_Colegiado[],2,FALSE)</f>
        <v>8</v>
      </c>
      <c r="B75" s="138" t="str">
        <f t="shared" si="1"/>
        <v>2020</v>
      </c>
      <c r="C75" s="139" t="s">
        <v>202</v>
      </c>
      <c r="D75" s="95"/>
      <c r="E75" s="95" t="s">
        <v>203</v>
      </c>
      <c r="F75" s="92">
        <v>596564.93999999994</v>
      </c>
      <c r="G75" s="96" t="s">
        <v>101</v>
      </c>
      <c r="H75" s="72" t="s">
        <v>123</v>
      </c>
      <c r="I75" s="91">
        <v>51</v>
      </c>
      <c r="J75" s="91" t="str">
        <f>LEFT(empreend_Fehidro[[#This Row],[suBpdc classifc]],1)</f>
        <v>5</v>
      </c>
      <c r="K75" s="140" t="str" cm="1">
        <f t="array" ref="K75">IF(empreend_Fehidro[[#This Row],[Devolvido?]] = "Não", _xlfn.XLOOKUP(empreend_Fehidro[[#This Row],[UGRHI]] &amp; empreend_Fehidro[[#This Row],[PDC class]], PAPI!A:A &amp; PAPI!B:B,PAPI!C:C, " PDC não prioritário no PAPI"), "n/a")</f>
        <v>Prioritário</v>
      </c>
      <c r="L75" s="289" t="s">
        <v>95</v>
      </c>
    </row>
    <row r="76" spans="1:12" s="141" customFormat="1">
      <c r="A76" s="142">
        <f>VLOOKUP(E76,Dim_Colegiado[],2,FALSE)</f>
        <v>8</v>
      </c>
      <c r="B76" s="143" t="str">
        <f t="shared" si="1"/>
        <v>2020</v>
      </c>
      <c r="C76" s="144" t="s">
        <v>204</v>
      </c>
      <c r="D76" s="91"/>
      <c r="E76" s="91" t="s">
        <v>203</v>
      </c>
      <c r="F76" s="88">
        <v>518116.76</v>
      </c>
      <c r="G76" s="96" t="s">
        <v>101</v>
      </c>
      <c r="H76" s="72" t="s">
        <v>123</v>
      </c>
      <c r="I76" s="91">
        <v>51</v>
      </c>
      <c r="J76" s="91" t="str">
        <f>LEFT(empreend_Fehidro[[#This Row],[suBpdc classifc]],1)</f>
        <v>5</v>
      </c>
      <c r="K76" s="140" t="str" cm="1">
        <f t="array" ref="K76">IF(empreend_Fehidro[[#This Row],[Devolvido?]] = "Não", _xlfn.XLOOKUP(empreend_Fehidro[[#This Row],[UGRHI]] &amp; empreend_Fehidro[[#This Row],[PDC class]], PAPI!A:A &amp; PAPI!B:B,PAPI!C:C, " PDC não prioritário no PAPI"), "n/a")</f>
        <v>Prioritário</v>
      </c>
      <c r="L76" s="289" t="s">
        <v>95</v>
      </c>
    </row>
    <row r="77" spans="1:12" s="141" customFormat="1">
      <c r="A77" s="137">
        <f>VLOOKUP(E77,Dim_Colegiado[],2,FALSE)</f>
        <v>8</v>
      </c>
      <c r="B77" s="138" t="str">
        <f t="shared" si="1"/>
        <v>2020</v>
      </c>
      <c r="C77" s="139" t="s">
        <v>205</v>
      </c>
      <c r="D77" s="95"/>
      <c r="E77" s="95" t="s">
        <v>203</v>
      </c>
      <c r="F77" s="92">
        <v>450000</v>
      </c>
      <c r="G77" s="96" t="s">
        <v>101</v>
      </c>
      <c r="H77" s="72" t="s">
        <v>123</v>
      </c>
      <c r="I77" s="91">
        <v>17</v>
      </c>
      <c r="J77" s="91" t="str">
        <f>LEFT(empreend_Fehidro[[#This Row],[suBpdc classifc]],1)</f>
        <v>1</v>
      </c>
      <c r="K77" s="140" t="str" cm="1">
        <f t="array" ref="K77">IF(empreend_Fehidro[[#This Row],[Devolvido?]] = "Não", _xlfn.XLOOKUP(empreend_Fehidro[[#This Row],[UGRHI]] &amp; empreend_Fehidro[[#This Row],[PDC class]], PAPI!A:A &amp; PAPI!B:B,PAPI!C:C, " PDC não prioritário no PAPI"), "n/a")</f>
        <v>PDC 1 e 2</v>
      </c>
      <c r="L77" s="289" t="s">
        <v>96</v>
      </c>
    </row>
    <row r="78" spans="1:12" s="141" customFormat="1">
      <c r="A78" s="142">
        <f>VLOOKUP(E78,Dim_Colegiado[],2,FALSE)</f>
        <v>8</v>
      </c>
      <c r="B78" s="143" t="str">
        <f t="shared" si="1"/>
        <v>2020</v>
      </c>
      <c r="C78" s="144" t="s">
        <v>206</v>
      </c>
      <c r="D78" s="91"/>
      <c r="E78" s="91" t="s">
        <v>203</v>
      </c>
      <c r="F78" s="88">
        <v>304653.31</v>
      </c>
      <c r="G78" s="96" t="s">
        <v>101</v>
      </c>
      <c r="H78" s="72" t="s">
        <v>123</v>
      </c>
      <c r="I78" s="91">
        <v>31</v>
      </c>
      <c r="J78" s="91" t="str">
        <f>LEFT(empreend_Fehidro[[#This Row],[suBpdc classifc]],1)</f>
        <v>3</v>
      </c>
      <c r="K78" s="140" t="str" cm="1">
        <f t="array" ref="K78">IF(empreend_Fehidro[[#This Row],[Devolvido?]] = "Não", _xlfn.XLOOKUP(empreend_Fehidro[[#This Row],[UGRHI]] &amp; empreend_Fehidro[[#This Row],[PDC class]], PAPI!A:A &amp; PAPI!B:B,PAPI!C:C, " PDC não prioritário no PAPI"), "n/a")</f>
        <v>Prioritário</v>
      </c>
      <c r="L78" s="289" t="s">
        <v>95</v>
      </c>
    </row>
    <row r="79" spans="1:12" s="141" customFormat="1">
      <c r="A79" s="137">
        <f>VLOOKUP(E79,Dim_Colegiado[],2,FALSE)</f>
        <v>8</v>
      </c>
      <c r="B79" s="138" t="str">
        <f t="shared" si="1"/>
        <v>2020</v>
      </c>
      <c r="C79" s="139" t="s">
        <v>207</v>
      </c>
      <c r="D79" s="95"/>
      <c r="E79" s="95" t="s">
        <v>203</v>
      </c>
      <c r="F79" s="92">
        <v>250000</v>
      </c>
      <c r="G79" s="96" t="s">
        <v>101</v>
      </c>
      <c r="H79" s="72" t="s">
        <v>123</v>
      </c>
      <c r="I79" s="91">
        <v>17</v>
      </c>
      <c r="J79" s="91" t="str">
        <f>LEFT(empreend_Fehidro[[#This Row],[suBpdc classifc]],1)</f>
        <v>1</v>
      </c>
      <c r="K79" s="140" t="str" cm="1">
        <f t="array" ref="K79">IF(empreend_Fehidro[[#This Row],[Devolvido?]] = "Não", _xlfn.XLOOKUP(empreend_Fehidro[[#This Row],[UGRHI]] &amp; empreend_Fehidro[[#This Row],[PDC class]], PAPI!A:A &amp; PAPI!B:B,PAPI!C:C, " PDC não prioritário no PAPI"), "n/a")</f>
        <v>PDC 1 e 2</v>
      </c>
      <c r="L79" s="289" t="s">
        <v>96</v>
      </c>
    </row>
    <row r="80" spans="1:12" s="141" customFormat="1">
      <c r="A80" s="137">
        <f>VLOOKUP(E80,Dim_Colegiado[],2,FALSE)</f>
        <v>9</v>
      </c>
      <c r="B80" s="138" t="str">
        <f t="shared" si="1"/>
        <v>2020</v>
      </c>
      <c r="C80" s="139" t="s">
        <v>208</v>
      </c>
      <c r="D80" s="95"/>
      <c r="E80" s="95" t="s">
        <v>209</v>
      </c>
      <c r="F80" s="92">
        <v>600000</v>
      </c>
      <c r="G80" s="96" t="s">
        <v>101</v>
      </c>
      <c r="H80" s="72" t="s">
        <v>123</v>
      </c>
      <c r="I80" s="91">
        <v>31</v>
      </c>
      <c r="J80" s="91" t="str">
        <f>LEFT(empreend_Fehidro[[#This Row],[suBpdc classifc]],1)</f>
        <v>3</v>
      </c>
      <c r="K80" s="140" t="str" cm="1">
        <f t="array" ref="K80">IF(empreend_Fehidro[[#This Row],[Devolvido?]] = "Não", _xlfn.XLOOKUP(empreend_Fehidro[[#This Row],[UGRHI]] &amp; empreend_Fehidro[[#This Row],[PDC class]], PAPI!A:A &amp; PAPI!B:B,PAPI!C:C, " PDC não prioritário no PAPI"), "n/a")</f>
        <v>Prioritário</v>
      </c>
      <c r="L80" s="289" t="s">
        <v>95</v>
      </c>
    </row>
    <row r="81" spans="1:12" s="141" customFormat="1">
      <c r="A81" s="142">
        <f>VLOOKUP(E81,Dim_Colegiado[],2,FALSE)</f>
        <v>9</v>
      </c>
      <c r="B81" s="143" t="str">
        <f t="shared" si="1"/>
        <v>2020</v>
      </c>
      <c r="C81" s="144" t="s">
        <v>210</v>
      </c>
      <c r="D81" s="91"/>
      <c r="E81" s="91" t="s">
        <v>209</v>
      </c>
      <c r="F81" s="88">
        <v>569986.43999999994</v>
      </c>
      <c r="G81" s="96" t="s">
        <v>101</v>
      </c>
      <c r="H81" s="72" t="s">
        <v>123</v>
      </c>
      <c r="I81" s="91">
        <v>31</v>
      </c>
      <c r="J81" s="91" t="str">
        <f>LEFT(empreend_Fehidro[[#This Row],[suBpdc classifc]],1)</f>
        <v>3</v>
      </c>
      <c r="K81" s="140" t="str" cm="1">
        <f t="array" ref="K81">IF(empreend_Fehidro[[#This Row],[Devolvido?]] = "Não", _xlfn.XLOOKUP(empreend_Fehidro[[#This Row],[UGRHI]] &amp; empreend_Fehidro[[#This Row],[PDC class]], PAPI!A:A &amp; PAPI!B:B,PAPI!C:C, " PDC não prioritário no PAPI"), "n/a")</f>
        <v>Prioritário</v>
      </c>
      <c r="L81" s="289" t="s">
        <v>95</v>
      </c>
    </row>
    <row r="82" spans="1:12" s="141" customFormat="1">
      <c r="A82" s="137">
        <f>VLOOKUP(E82,Dim_Colegiado[],2,FALSE)</f>
        <v>9</v>
      </c>
      <c r="B82" s="138" t="str">
        <f t="shared" si="1"/>
        <v>2020</v>
      </c>
      <c r="C82" s="139" t="s">
        <v>211</v>
      </c>
      <c r="D82" s="95"/>
      <c r="E82" s="95" t="s">
        <v>209</v>
      </c>
      <c r="F82" s="92">
        <v>420000</v>
      </c>
      <c r="G82" s="96" t="s">
        <v>101</v>
      </c>
      <c r="H82" s="72" t="s">
        <v>123</v>
      </c>
      <c r="I82" s="91">
        <v>33</v>
      </c>
      <c r="J82" s="91" t="str">
        <f>LEFT(empreend_Fehidro[[#This Row],[suBpdc classifc]],1)</f>
        <v>3</v>
      </c>
      <c r="K82" s="140" t="str" cm="1">
        <f t="array" ref="K82">IF(empreend_Fehidro[[#This Row],[Devolvido?]] = "Não", _xlfn.XLOOKUP(empreend_Fehidro[[#This Row],[UGRHI]] &amp; empreend_Fehidro[[#This Row],[PDC class]], PAPI!A:A &amp; PAPI!B:B,PAPI!C:C, " PDC não prioritário no PAPI"), "n/a")</f>
        <v>Prioritário</v>
      </c>
      <c r="L82" s="289" t="s">
        <v>95</v>
      </c>
    </row>
    <row r="83" spans="1:12" s="141" customFormat="1">
      <c r="A83" s="142">
        <f>VLOOKUP(E83,Dim_Colegiado[],2,FALSE)</f>
        <v>9</v>
      </c>
      <c r="B83" s="143" t="str">
        <f t="shared" si="1"/>
        <v>2020</v>
      </c>
      <c r="C83" s="144" t="s">
        <v>212</v>
      </c>
      <c r="D83" s="91"/>
      <c r="E83" s="91" t="s">
        <v>209</v>
      </c>
      <c r="F83" s="88">
        <v>419961.57</v>
      </c>
      <c r="G83" s="96" t="s">
        <v>101</v>
      </c>
      <c r="H83" s="72" t="s">
        <v>123</v>
      </c>
      <c r="I83" s="91">
        <v>33</v>
      </c>
      <c r="J83" s="91" t="str">
        <f>LEFT(empreend_Fehidro[[#This Row],[suBpdc classifc]],1)</f>
        <v>3</v>
      </c>
      <c r="K83" s="140" t="str" cm="1">
        <f t="array" ref="K83">IF(empreend_Fehidro[[#This Row],[Devolvido?]] = "Não", _xlfn.XLOOKUP(empreend_Fehidro[[#This Row],[UGRHI]] &amp; empreend_Fehidro[[#This Row],[PDC class]], PAPI!A:A &amp; PAPI!B:B,PAPI!C:C, " PDC não prioritário no PAPI"), "n/a")</f>
        <v>Prioritário</v>
      </c>
      <c r="L83" s="289" t="s">
        <v>95</v>
      </c>
    </row>
    <row r="84" spans="1:12" s="141" customFormat="1">
      <c r="A84" s="137">
        <f>VLOOKUP(E84,Dim_Colegiado[],2,FALSE)</f>
        <v>9</v>
      </c>
      <c r="B84" s="138" t="str">
        <f t="shared" si="1"/>
        <v>2020</v>
      </c>
      <c r="C84" s="139" t="s">
        <v>213</v>
      </c>
      <c r="D84" s="95"/>
      <c r="E84" s="95" t="s">
        <v>209</v>
      </c>
      <c r="F84" s="92">
        <v>394949.1</v>
      </c>
      <c r="G84" s="96" t="s">
        <v>101</v>
      </c>
      <c r="H84" s="72" t="s">
        <v>123</v>
      </c>
      <c r="I84" s="91">
        <v>51</v>
      </c>
      <c r="J84" s="91" t="str">
        <f>LEFT(empreend_Fehidro[[#This Row],[suBpdc classifc]],1)</f>
        <v>5</v>
      </c>
      <c r="K84" s="140" t="str" cm="1">
        <f t="array" ref="K84">IF(empreend_Fehidro[[#This Row],[Devolvido?]] = "Não", _xlfn.XLOOKUP(empreend_Fehidro[[#This Row],[UGRHI]] &amp; empreend_Fehidro[[#This Row],[PDC class]], PAPI!A:A &amp; PAPI!B:B,PAPI!C:C, " PDC não prioritário no PAPI"), "n/a")</f>
        <v>Não prioritário</v>
      </c>
      <c r="L84" s="289" t="s">
        <v>95</v>
      </c>
    </row>
    <row r="85" spans="1:12" s="141" customFormat="1">
      <c r="A85" s="142">
        <f>VLOOKUP(E85,Dim_Colegiado[],2,FALSE)</f>
        <v>9</v>
      </c>
      <c r="B85" s="143" t="str">
        <f t="shared" si="1"/>
        <v>2020</v>
      </c>
      <c r="C85" s="144" t="s">
        <v>214</v>
      </c>
      <c r="D85" s="91"/>
      <c r="E85" s="91" t="s">
        <v>209</v>
      </c>
      <c r="F85" s="88">
        <v>385878.59</v>
      </c>
      <c r="G85" s="96" t="s">
        <v>101</v>
      </c>
      <c r="H85" s="72" t="s">
        <v>123</v>
      </c>
      <c r="I85" s="91">
        <v>33</v>
      </c>
      <c r="J85" s="91" t="str">
        <f>LEFT(empreend_Fehidro[[#This Row],[suBpdc classifc]],1)</f>
        <v>3</v>
      </c>
      <c r="K85" s="140" t="str" cm="1">
        <f t="array" ref="K85">IF(empreend_Fehidro[[#This Row],[Devolvido?]] = "Não", _xlfn.XLOOKUP(empreend_Fehidro[[#This Row],[UGRHI]] &amp; empreend_Fehidro[[#This Row],[PDC class]], PAPI!A:A &amp; PAPI!B:B,PAPI!C:C, " PDC não prioritário no PAPI"), "n/a")</f>
        <v>Prioritário</v>
      </c>
      <c r="L85" s="289" t="s">
        <v>95</v>
      </c>
    </row>
    <row r="86" spans="1:12" s="141" customFormat="1">
      <c r="A86" s="137">
        <f>VLOOKUP(E86,Dim_Colegiado[],2,FALSE)</f>
        <v>9</v>
      </c>
      <c r="B86" s="138" t="str">
        <f t="shared" si="1"/>
        <v>2020</v>
      </c>
      <c r="C86" s="139" t="s">
        <v>215</v>
      </c>
      <c r="D86" s="95"/>
      <c r="E86" s="95" t="s">
        <v>209</v>
      </c>
      <c r="F86" s="92">
        <v>384456.77</v>
      </c>
      <c r="G86" s="96" t="s">
        <v>101</v>
      </c>
      <c r="H86" s="72" t="s">
        <v>123</v>
      </c>
      <c r="I86" s="91">
        <v>51</v>
      </c>
      <c r="J86" s="91" t="str">
        <f>LEFT(empreend_Fehidro[[#This Row],[suBpdc classifc]],1)</f>
        <v>5</v>
      </c>
      <c r="K86" s="140" t="str" cm="1">
        <f t="array" ref="K86">IF(empreend_Fehidro[[#This Row],[Devolvido?]] = "Não", _xlfn.XLOOKUP(empreend_Fehidro[[#This Row],[UGRHI]] &amp; empreend_Fehidro[[#This Row],[PDC class]], PAPI!A:A &amp; PAPI!B:B,PAPI!C:C, " PDC não prioritário no PAPI"), "n/a")</f>
        <v>Não prioritário</v>
      </c>
      <c r="L86" s="289" t="s">
        <v>95</v>
      </c>
    </row>
    <row r="87" spans="1:12" s="141" customFormat="1">
      <c r="A87" s="142">
        <f>VLOOKUP(E87,Dim_Colegiado[],2,FALSE)</f>
        <v>9</v>
      </c>
      <c r="B87" s="143" t="str">
        <f t="shared" si="1"/>
        <v>2020</v>
      </c>
      <c r="C87" s="144" t="s">
        <v>216</v>
      </c>
      <c r="D87" s="91"/>
      <c r="E87" s="91" t="s">
        <v>209</v>
      </c>
      <c r="F87" s="88">
        <v>360000</v>
      </c>
      <c r="G87" s="96" t="s">
        <v>101</v>
      </c>
      <c r="H87" s="72" t="s">
        <v>123</v>
      </c>
      <c r="I87" s="91">
        <v>32</v>
      </c>
      <c r="J87" s="91" t="str">
        <f>LEFT(empreend_Fehidro[[#This Row],[suBpdc classifc]],1)</f>
        <v>3</v>
      </c>
      <c r="K87" s="140" t="str" cm="1">
        <f t="array" ref="K87">IF(empreend_Fehidro[[#This Row],[Devolvido?]] = "Não", _xlfn.XLOOKUP(empreend_Fehidro[[#This Row],[UGRHI]] &amp; empreend_Fehidro[[#This Row],[PDC class]], PAPI!A:A &amp; PAPI!B:B,PAPI!C:C, " PDC não prioritário no PAPI"), "n/a")</f>
        <v>Prioritário</v>
      </c>
      <c r="L87" s="289" t="s">
        <v>95</v>
      </c>
    </row>
    <row r="88" spans="1:12" s="141" customFormat="1">
      <c r="A88" s="137">
        <f>VLOOKUP(E88,Dim_Colegiado[],2,FALSE)</f>
        <v>9</v>
      </c>
      <c r="B88" s="138" t="str">
        <f t="shared" si="1"/>
        <v>2020</v>
      </c>
      <c r="C88" s="139" t="s">
        <v>217</v>
      </c>
      <c r="D88" s="95"/>
      <c r="E88" s="95" t="s">
        <v>209</v>
      </c>
      <c r="F88" s="92">
        <v>352000</v>
      </c>
      <c r="G88" s="96" t="s">
        <v>101</v>
      </c>
      <c r="H88" s="72" t="s">
        <v>123</v>
      </c>
      <c r="I88" s="91">
        <v>32</v>
      </c>
      <c r="J88" s="91" t="str">
        <f>LEFT(empreend_Fehidro[[#This Row],[suBpdc classifc]],1)</f>
        <v>3</v>
      </c>
      <c r="K88" s="140" t="str" cm="1">
        <f t="array" ref="K88">IF(empreend_Fehidro[[#This Row],[Devolvido?]] = "Não", _xlfn.XLOOKUP(empreend_Fehidro[[#This Row],[UGRHI]] &amp; empreend_Fehidro[[#This Row],[PDC class]], PAPI!A:A &amp; PAPI!B:B,PAPI!C:C, " PDC não prioritário no PAPI"), "n/a")</f>
        <v>Prioritário</v>
      </c>
      <c r="L88" s="289" t="s">
        <v>95</v>
      </c>
    </row>
    <row r="89" spans="1:12" s="141" customFormat="1">
      <c r="A89" s="142">
        <f>VLOOKUP(E89,Dim_Colegiado[],2,FALSE)</f>
        <v>9</v>
      </c>
      <c r="B89" s="143" t="str">
        <f t="shared" si="1"/>
        <v>2020</v>
      </c>
      <c r="C89" s="144" t="s">
        <v>218</v>
      </c>
      <c r="D89" s="91"/>
      <c r="E89" s="91" t="s">
        <v>209</v>
      </c>
      <c r="F89" s="88">
        <v>333490.13</v>
      </c>
      <c r="G89" s="96" t="s">
        <v>101</v>
      </c>
      <c r="H89" s="72" t="s">
        <v>123</v>
      </c>
      <c r="I89" s="91">
        <v>32</v>
      </c>
      <c r="J89" s="91" t="str">
        <f>LEFT(empreend_Fehidro[[#This Row],[suBpdc classifc]],1)</f>
        <v>3</v>
      </c>
      <c r="K89" s="140" t="str" cm="1">
        <f t="array" ref="K89">IF(empreend_Fehidro[[#This Row],[Devolvido?]] = "Não", _xlfn.XLOOKUP(empreend_Fehidro[[#This Row],[UGRHI]] &amp; empreend_Fehidro[[#This Row],[PDC class]], PAPI!A:A &amp; PAPI!B:B,PAPI!C:C, " PDC não prioritário no PAPI"), "n/a")</f>
        <v>Prioritário</v>
      </c>
      <c r="L89" s="289" t="s">
        <v>95</v>
      </c>
    </row>
    <row r="90" spans="1:12" s="141" customFormat="1">
      <c r="A90" s="137">
        <f>VLOOKUP(E90,Dim_Colegiado[],2,FALSE)</f>
        <v>9</v>
      </c>
      <c r="B90" s="138" t="str">
        <f t="shared" si="1"/>
        <v>2020</v>
      </c>
      <c r="C90" s="139" t="s">
        <v>219</v>
      </c>
      <c r="D90" s="95"/>
      <c r="E90" s="95" t="s">
        <v>209</v>
      </c>
      <c r="F90" s="92">
        <v>254442</v>
      </c>
      <c r="G90" s="96" t="s">
        <v>101</v>
      </c>
      <c r="H90" s="72" t="s">
        <v>123</v>
      </c>
      <c r="I90" s="91">
        <v>42</v>
      </c>
      <c r="J90" s="91" t="str">
        <f>LEFT(empreend_Fehidro[[#This Row],[suBpdc classifc]],1)</f>
        <v>4</v>
      </c>
      <c r="K90" s="140" t="str" cm="1">
        <f t="array" ref="K90">IF(empreend_Fehidro[[#This Row],[Devolvido?]] = "Não", _xlfn.XLOOKUP(empreend_Fehidro[[#This Row],[UGRHI]] &amp; empreend_Fehidro[[#This Row],[PDC class]], PAPI!A:A &amp; PAPI!B:B,PAPI!C:C, " PDC não prioritário no PAPI"), "n/a")</f>
        <v>Prioritário</v>
      </c>
      <c r="L90" s="289" t="s">
        <v>95</v>
      </c>
    </row>
    <row r="91" spans="1:12" s="141" customFormat="1">
      <c r="A91" s="142">
        <f>VLOOKUP(E91,Dim_Colegiado[],2,FALSE)</f>
        <v>9</v>
      </c>
      <c r="B91" s="143" t="str">
        <f t="shared" si="1"/>
        <v>2020</v>
      </c>
      <c r="C91" s="144" t="s">
        <v>220</v>
      </c>
      <c r="D91" s="91"/>
      <c r="E91" s="91" t="s">
        <v>209</v>
      </c>
      <c r="F91" s="88">
        <v>230025.60000000001</v>
      </c>
      <c r="G91" s="96" t="s">
        <v>101</v>
      </c>
      <c r="H91" s="72" t="s">
        <v>123</v>
      </c>
      <c r="I91" s="91">
        <v>42</v>
      </c>
      <c r="J91" s="91" t="str">
        <f>LEFT(empreend_Fehidro[[#This Row],[suBpdc classifc]],1)</f>
        <v>4</v>
      </c>
      <c r="K91" s="140" t="str" cm="1">
        <f t="array" ref="K91">IF(empreend_Fehidro[[#This Row],[Devolvido?]] = "Não", _xlfn.XLOOKUP(empreend_Fehidro[[#This Row],[UGRHI]] &amp; empreend_Fehidro[[#This Row],[PDC class]], PAPI!A:A &amp; PAPI!B:B,PAPI!C:C, " PDC não prioritário no PAPI"), "n/a")</f>
        <v>Prioritário</v>
      </c>
      <c r="L91" s="289" t="s">
        <v>95</v>
      </c>
    </row>
    <row r="92" spans="1:12">
      <c r="A92" s="137">
        <f>VLOOKUP(E92,Dim_Colegiado[],2,FALSE)</f>
        <v>9</v>
      </c>
      <c r="B92" s="138" t="str">
        <f t="shared" si="1"/>
        <v>2020</v>
      </c>
      <c r="C92" s="139" t="s">
        <v>221</v>
      </c>
      <c r="D92" s="95"/>
      <c r="E92" s="95" t="s">
        <v>209</v>
      </c>
      <c r="F92" s="92">
        <v>217463.58</v>
      </c>
      <c r="G92" s="96" t="s">
        <v>101</v>
      </c>
      <c r="H92" s="72" t="s">
        <v>123</v>
      </c>
      <c r="I92" s="91">
        <v>82</v>
      </c>
      <c r="J92" s="91" t="str">
        <f>LEFT(empreend_Fehidro[[#This Row],[suBpdc classifc]],1)</f>
        <v>8</v>
      </c>
      <c r="K92" s="140" t="str" cm="1">
        <f t="array" ref="K92">IF(empreend_Fehidro[[#This Row],[Devolvido?]] = "Não", _xlfn.XLOOKUP(empreend_Fehidro[[#This Row],[UGRHI]] &amp; empreend_Fehidro[[#This Row],[PDC class]], PAPI!A:A &amp; PAPI!B:B,PAPI!C:C, " PDC não prioritário no PAPI"), "n/a")</f>
        <v>Não prioritário</v>
      </c>
      <c r="L92" s="289" t="s">
        <v>96</v>
      </c>
    </row>
    <row r="93" spans="1:12">
      <c r="A93" s="142">
        <f>VLOOKUP(E93,Dim_Colegiado[],2,FALSE)</f>
        <v>9</v>
      </c>
      <c r="B93" s="143" t="str">
        <f t="shared" si="1"/>
        <v>2020</v>
      </c>
      <c r="C93" s="144" t="s">
        <v>222</v>
      </c>
      <c r="D93" s="91"/>
      <c r="E93" s="91" t="s">
        <v>209</v>
      </c>
      <c r="F93" s="88">
        <v>174924.51</v>
      </c>
      <c r="G93" s="96" t="s">
        <v>101</v>
      </c>
      <c r="H93" s="72" t="s">
        <v>123</v>
      </c>
      <c r="I93" s="91">
        <v>51</v>
      </c>
      <c r="J93" s="91" t="str">
        <f>LEFT(empreend_Fehidro[[#This Row],[suBpdc classifc]],1)</f>
        <v>5</v>
      </c>
      <c r="K93" s="140" t="str" cm="1">
        <f t="array" ref="K93">IF(empreend_Fehidro[[#This Row],[Devolvido?]] = "Não", _xlfn.XLOOKUP(empreend_Fehidro[[#This Row],[UGRHI]] &amp; empreend_Fehidro[[#This Row],[PDC class]], PAPI!A:A &amp; PAPI!B:B,PAPI!C:C, " PDC não prioritário no PAPI"), "n/a")</f>
        <v>Não prioritário</v>
      </c>
      <c r="L93" s="289" t="s">
        <v>95</v>
      </c>
    </row>
    <row r="94" spans="1:12">
      <c r="A94" s="137">
        <f>VLOOKUP(E94,Dim_Colegiado[],2,FALSE)</f>
        <v>10</v>
      </c>
      <c r="B94" s="138" t="str">
        <f t="shared" si="1"/>
        <v>2020</v>
      </c>
      <c r="C94" s="139" t="s">
        <v>223</v>
      </c>
      <c r="D94" s="95"/>
      <c r="E94" s="95" t="s">
        <v>224</v>
      </c>
      <c r="F94" s="92">
        <v>4421198.37</v>
      </c>
      <c r="G94" s="96" t="s">
        <v>101</v>
      </c>
      <c r="H94" s="72" t="s">
        <v>123</v>
      </c>
      <c r="I94" s="91">
        <v>31</v>
      </c>
      <c r="J94" s="91" t="str">
        <f>LEFT(empreend_Fehidro[[#This Row],[suBpdc classifc]],1)</f>
        <v>3</v>
      </c>
      <c r="K94" s="140" t="str" cm="1">
        <f t="array" ref="K94">IF(empreend_Fehidro[[#This Row],[Devolvido?]] = "Não", _xlfn.XLOOKUP(empreend_Fehidro[[#This Row],[UGRHI]] &amp; empreend_Fehidro[[#This Row],[PDC class]], PAPI!A:A &amp; PAPI!B:B,PAPI!C:C, " PDC não prioritário no PAPI"), "n/a")</f>
        <v>Prioritário</v>
      </c>
      <c r="L94" s="289" t="s">
        <v>95</v>
      </c>
    </row>
    <row r="95" spans="1:12">
      <c r="A95" s="142">
        <f>VLOOKUP(E95,Dim_Colegiado[],2,FALSE)</f>
        <v>10</v>
      </c>
      <c r="B95" s="143" t="str">
        <f t="shared" si="1"/>
        <v>2020</v>
      </c>
      <c r="C95" s="144" t="s">
        <v>225</v>
      </c>
      <c r="D95" s="91"/>
      <c r="E95" s="91" t="s">
        <v>224</v>
      </c>
      <c r="F95" s="88">
        <v>4040214.89</v>
      </c>
      <c r="G95" s="96" t="s">
        <v>101</v>
      </c>
      <c r="H95" s="72" t="s">
        <v>123</v>
      </c>
      <c r="I95" s="91">
        <v>33</v>
      </c>
      <c r="J95" s="91" t="str">
        <f>LEFT(empreend_Fehidro[[#This Row],[suBpdc classifc]],1)</f>
        <v>3</v>
      </c>
      <c r="K95" s="140" t="str" cm="1">
        <f t="array" ref="K95">IF(empreend_Fehidro[[#This Row],[Devolvido?]] = "Não", _xlfn.XLOOKUP(empreend_Fehidro[[#This Row],[UGRHI]] &amp; empreend_Fehidro[[#This Row],[PDC class]], PAPI!A:A &amp; PAPI!B:B,PAPI!C:C, " PDC não prioritário no PAPI"), "n/a")</f>
        <v>Prioritário</v>
      </c>
      <c r="L95" s="289" t="s">
        <v>95</v>
      </c>
    </row>
    <row r="96" spans="1:12">
      <c r="A96" s="137">
        <f>VLOOKUP(E96,Dim_Colegiado[],2,FALSE)</f>
        <v>10</v>
      </c>
      <c r="B96" s="138" t="str">
        <f t="shared" si="1"/>
        <v>2020</v>
      </c>
      <c r="C96" s="139" t="s">
        <v>226</v>
      </c>
      <c r="D96" s="95"/>
      <c r="E96" s="95" t="s">
        <v>224</v>
      </c>
      <c r="F96" s="92">
        <v>2688513.66</v>
      </c>
      <c r="G96" s="96" t="s">
        <v>101</v>
      </c>
      <c r="H96" s="72" t="s">
        <v>123</v>
      </c>
      <c r="I96" s="91">
        <v>33</v>
      </c>
      <c r="J96" s="91" t="str">
        <f>LEFT(empreend_Fehidro[[#This Row],[suBpdc classifc]],1)</f>
        <v>3</v>
      </c>
      <c r="K96" s="140" t="str" cm="1">
        <f t="array" ref="K96">IF(empreend_Fehidro[[#This Row],[Devolvido?]] = "Não", _xlfn.XLOOKUP(empreend_Fehidro[[#This Row],[UGRHI]] &amp; empreend_Fehidro[[#This Row],[PDC class]], PAPI!A:A &amp; PAPI!B:B,PAPI!C:C, " PDC não prioritário no PAPI"), "n/a")</f>
        <v>Prioritário</v>
      </c>
      <c r="L96" s="289" t="s">
        <v>95</v>
      </c>
    </row>
    <row r="97" spans="1:12">
      <c r="A97" s="142">
        <f>VLOOKUP(E97,Dim_Colegiado[],2,FALSE)</f>
        <v>10</v>
      </c>
      <c r="B97" s="143" t="str">
        <f t="shared" si="1"/>
        <v>2020</v>
      </c>
      <c r="C97" s="144" t="s">
        <v>227</v>
      </c>
      <c r="D97" s="91"/>
      <c r="E97" s="91" t="s">
        <v>224</v>
      </c>
      <c r="F97" s="88">
        <v>1512875.97</v>
      </c>
      <c r="G97" s="96" t="s">
        <v>101</v>
      </c>
      <c r="H97" s="72" t="s">
        <v>123</v>
      </c>
      <c r="I97" s="91">
        <v>33</v>
      </c>
      <c r="J97" s="91" t="str">
        <f>LEFT(empreend_Fehidro[[#This Row],[suBpdc classifc]],1)</f>
        <v>3</v>
      </c>
      <c r="K97" s="140" t="str" cm="1">
        <f t="array" ref="K97">IF(empreend_Fehidro[[#This Row],[Devolvido?]] = "Não", _xlfn.XLOOKUP(empreend_Fehidro[[#This Row],[UGRHI]] &amp; empreend_Fehidro[[#This Row],[PDC class]], PAPI!A:A &amp; PAPI!B:B,PAPI!C:C, " PDC não prioritário no PAPI"), "n/a")</f>
        <v>Prioritário</v>
      </c>
      <c r="L97" s="289" t="s">
        <v>95</v>
      </c>
    </row>
    <row r="98" spans="1:12" s="141" customFormat="1">
      <c r="A98" s="137">
        <f>VLOOKUP(E98,Dim_Colegiado[],2,FALSE)</f>
        <v>10</v>
      </c>
      <c r="B98" s="138" t="str">
        <f t="shared" si="1"/>
        <v>2020</v>
      </c>
      <c r="C98" s="139" t="s">
        <v>228</v>
      </c>
      <c r="D98" s="95"/>
      <c r="E98" s="95" t="s">
        <v>224</v>
      </c>
      <c r="F98" s="92">
        <v>1463546.86</v>
      </c>
      <c r="G98" s="96" t="s">
        <v>101</v>
      </c>
      <c r="H98" s="72" t="s">
        <v>123</v>
      </c>
      <c r="I98" s="91">
        <v>72</v>
      </c>
      <c r="J98" s="91" t="str">
        <f>LEFT(empreend_Fehidro[[#This Row],[suBpdc classifc]],1)</f>
        <v>7</v>
      </c>
      <c r="K98" s="140" t="str" cm="1">
        <f t="array" ref="K98">IF(empreend_Fehidro[[#This Row],[Devolvido?]] = "Não", _xlfn.XLOOKUP(empreend_Fehidro[[#This Row],[UGRHI]] &amp; empreend_Fehidro[[#This Row],[PDC class]], PAPI!A:A &amp; PAPI!B:B,PAPI!C:C, " PDC não prioritário no PAPI"), "n/a")</f>
        <v>Não prioritário</v>
      </c>
      <c r="L98" s="289" t="s">
        <v>95</v>
      </c>
    </row>
    <row r="99" spans="1:12" s="141" customFormat="1">
      <c r="A99" s="142">
        <f>VLOOKUP(E99,Dim_Colegiado[],2,FALSE)</f>
        <v>10</v>
      </c>
      <c r="B99" s="143" t="str">
        <f t="shared" si="1"/>
        <v>2020</v>
      </c>
      <c r="C99" s="144" t="s">
        <v>229</v>
      </c>
      <c r="D99" s="91"/>
      <c r="E99" s="91" t="s">
        <v>224</v>
      </c>
      <c r="F99" s="88">
        <v>1364776.03</v>
      </c>
      <c r="G99" s="96" t="s">
        <v>101</v>
      </c>
      <c r="H99" s="72" t="s">
        <v>123</v>
      </c>
      <c r="I99" s="91">
        <v>31</v>
      </c>
      <c r="J99" s="91" t="str">
        <f>LEFT(empreend_Fehidro[[#This Row],[suBpdc classifc]],1)</f>
        <v>3</v>
      </c>
      <c r="K99" s="140" t="str" cm="1">
        <f t="array" ref="K99">IF(empreend_Fehidro[[#This Row],[Devolvido?]] = "Não", _xlfn.XLOOKUP(empreend_Fehidro[[#This Row],[UGRHI]] &amp; empreend_Fehidro[[#This Row],[PDC class]], PAPI!A:A &amp; PAPI!B:B,PAPI!C:C, " PDC não prioritário no PAPI"), "n/a")</f>
        <v>Prioritário</v>
      </c>
      <c r="L99" s="289" t="s">
        <v>95</v>
      </c>
    </row>
    <row r="100" spans="1:12" s="141" customFormat="1">
      <c r="A100" s="137">
        <f>VLOOKUP(E100,Dim_Colegiado[],2,FALSE)</f>
        <v>10</v>
      </c>
      <c r="B100" s="138" t="str">
        <f t="shared" si="1"/>
        <v>2020</v>
      </c>
      <c r="C100" s="139" t="s">
        <v>230</v>
      </c>
      <c r="D100" s="95"/>
      <c r="E100" s="95" t="s">
        <v>224</v>
      </c>
      <c r="F100" s="92">
        <v>1039000.43</v>
      </c>
      <c r="G100" s="96" t="s">
        <v>101</v>
      </c>
      <c r="H100" s="72" t="s">
        <v>123</v>
      </c>
      <c r="I100" s="91">
        <v>31</v>
      </c>
      <c r="J100" s="91" t="str">
        <f>LEFT(empreend_Fehidro[[#This Row],[suBpdc classifc]],1)</f>
        <v>3</v>
      </c>
      <c r="K100" s="140" t="str" cm="1">
        <f t="array" ref="K100">IF(empreend_Fehidro[[#This Row],[Devolvido?]] = "Não", _xlfn.XLOOKUP(empreend_Fehidro[[#This Row],[UGRHI]] &amp; empreend_Fehidro[[#This Row],[PDC class]], PAPI!A:A &amp; PAPI!B:B,PAPI!C:C, " PDC não prioritário no PAPI"), "n/a")</f>
        <v>Prioritário</v>
      </c>
      <c r="L100" s="289" t="s">
        <v>95</v>
      </c>
    </row>
    <row r="101" spans="1:12" s="141" customFormat="1">
      <c r="A101" s="142">
        <f>VLOOKUP(E101,Dim_Colegiado[],2,FALSE)</f>
        <v>10</v>
      </c>
      <c r="B101" s="143" t="str">
        <f t="shared" si="1"/>
        <v>2020</v>
      </c>
      <c r="C101" s="144" t="s">
        <v>231</v>
      </c>
      <c r="D101" s="91"/>
      <c r="E101" s="91" t="s">
        <v>224</v>
      </c>
      <c r="F101" s="88">
        <v>628945.64</v>
      </c>
      <c r="G101" s="96" t="s">
        <v>101</v>
      </c>
      <c r="H101" s="72" t="s">
        <v>123</v>
      </c>
      <c r="I101" s="91">
        <v>12</v>
      </c>
      <c r="J101" s="91" t="str">
        <f>LEFT(empreend_Fehidro[[#This Row],[suBpdc classifc]],1)</f>
        <v>1</v>
      </c>
      <c r="K101" s="140" t="str" cm="1">
        <f t="array" ref="K101">IF(empreend_Fehidro[[#This Row],[Devolvido?]] = "Não", _xlfn.XLOOKUP(empreend_Fehidro[[#This Row],[UGRHI]] &amp; empreend_Fehidro[[#This Row],[PDC class]], PAPI!A:A &amp; PAPI!B:B,PAPI!C:C, " PDC não prioritário no PAPI"), "n/a")</f>
        <v>PDC 1 e 2</v>
      </c>
      <c r="L101" s="289" t="s">
        <v>96</v>
      </c>
    </row>
    <row r="102" spans="1:12" s="141" customFormat="1">
      <c r="A102" s="137">
        <f>VLOOKUP(E102,Dim_Colegiado[],2,FALSE)</f>
        <v>10</v>
      </c>
      <c r="B102" s="138" t="str">
        <f t="shared" si="1"/>
        <v>2020</v>
      </c>
      <c r="C102" s="139" t="s">
        <v>232</v>
      </c>
      <c r="D102" s="95"/>
      <c r="E102" s="95" t="s">
        <v>224</v>
      </c>
      <c r="F102" s="92">
        <v>505011.08</v>
      </c>
      <c r="G102" s="96" t="s">
        <v>101</v>
      </c>
      <c r="H102" s="72" t="s">
        <v>123</v>
      </c>
      <c r="I102" s="91">
        <v>42</v>
      </c>
      <c r="J102" s="91" t="str">
        <f>LEFT(empreend_Fehidro[[#This Row],[suBpdc classifc]],1)</f>
        <v>4</v>
      </c>
      <c r="K102" s="140" t="str" cm="1">
        <f t="array" ref="K102">IF(empreend_Fehidro[[#This Row],[Devolvido?]] = "Não", _xlfn.XLOOKUP(empreend_Fehidro[[#This Row],[UGRHI]] &amp; empreend_Fehidro[[#This Row],[PDC class]], PAPI!A:A &amp; PAPI!B:B,PAPI!C:C, " PDC não prioritário no PAPI"), "n/a")</f>
        <v>Prioritário</v>
      </c>
      <c r="L102" s="289" t="s">
        <v>95</v>
      </c>
    </row>
    <row r="103" spans="1:12" s="141" customFormat="1">
      <c r="A103" s="142">
        <f>VLOOKUP(E103,Dim_Colegiado[],2,FALSE)</f>
        <v>10</v>
      </c>
      <c r="B103" s="143" t="str">
        <f t="shared" si="1"/>
        <v>2020</v>
      </c>
      <c r="C103" s="144" t="s">
        <v>233</v>
      </c>
      <c r="D103" s="91"/>
      <c r="E103" s="91" t="s">
        <v>224</v>
      </c>
      <c r="F103" s="88">
        <v>468831.28</v>
      </c>
      <c r="G103" s="96" t="s">
        <v>101</v>
      </c>
      <c r="H103" s="72" t="s">
        <v>123</v>
      </c>
      <c r="I103" s="91">
        <v>12</v>
      </c>
      <c r="J103" s="91" t="str">
        <f>LEFT(empreend_Fehidro[[#This Row],[suBpdc classifc]],1)</f>
        <v>1</v>
      </c>
      <c r="K103" s="140" t="str" cm="1">
        <f t="array" ref="K103">IF(empreend_Fehidro[[#This Row],[Devolvido?]] = "Não", _xlfn.XLOOKUP(empreend_Fehidro[[#This Row],[UGRHI]] &amp; empreend_Fehidro[[#This Row],[PDC class]], PAPI!A:A &amp; PAPI!B:B,PAPI!C:C, " PDC não prioritário no PAPI"), "n/a")</f>
        <v>PDC 1 e 2</v>
      </c>
      <c r="L103" s="289" t="s">
        <v>96</v>
      </c>
    </row>
    <row r="104" spans="1:12" s="141" customFormat="1">
      <c r="A104" s="137">
        <f>VLOOKUP(E104,Dim_Colegiado[],2,FALSE)</f>
        <v>10</v>
      </c>
      <c r="B104" s="138" t="str">
        <f t="shared" si="1"/>
        <v>2020</v>
      </c>
      <c r="C104" s="139" t="s">
        <v>234</v>
      </c>
      <c r="D104" s="95"/>
      <c r="E104" s="95" t="s">
        <v>224</v>
      </c>
      <c r="F104" s="92">
        <v>409087.03</v>
      </c>
      <c r="G104" s="96" t="s">
        <v>101</v>
      </c>
      <c r="H104" s="72" t="s">
        <v>123</v>
      </c>
      <c r="I104" s="91">
        <v>33</v>
      </c>
      <c r="J104" s="91" t="str">
        <f>LEFT(empreend_Fehidro[[#This Row],[suBpdc classifc]],1)</f>
        <v>3</v>
      </c>
      <c r="K104" s="140" t="str" cm="1">
        <f t="array" ref="K104">IF(empreend_Fehidro[[#This Row],[Devolvido?]] = "Não", _xlfn.XLOOKUP(empreend_Fehidro[[#This Row],[UGRHI]] &amp; empreend_Fehidro[[#This Row],[PDC class]], PAPI!A:A &amp; PAPI!B:B,PAPI!C:C, " PDC não prioritário no PAPI"), "n/a")</f>
        <v>Prioritário</v>
      </c>
      <c r="L104" s="289" t="s">
        <v>95</v>
      </c>
    </row>
    <row r="105" spans="1:12" s="141" customFormat="1">
      <c r="A105" s="142">
        <f>VLOOKUP(E105,Dim_Colegiado[],2,FALSE)</f>
        <v>10</v>
      </c>
      <c r="B105" s="143" t="str">
        <f t="shared" si="1"/>
        <v>2020</v>
      </c>
      <c r="C105" s="144" t="s">
        <v>235</v>
      </c>
      <c r="D105" s="91"/>
      <c r="E105" s="91" t="s">
        <v>224</v>
      </c>
      <c r="F105" s="88">
        <v>367970.65</v>
      </c>
      <c r="G105" s="96" t="s">
        <v>101</v>
      </c>
      <c r="H105" s="72" t="s">
        <v>123</v>
      </c>
      <c r="I105" s="91">
        <v>33</v>
      </c>
      <c r="J105" s="91" t="str">
        <f>LEFT(empreend_Fehidro[[#This Row],[suBpdc classifc]],1)</f>
        <v>3</v>
      </c>
      <c r="K105" s="140" t="str" cm="1">
        <f t="array" ref="K105">IF(empreend_Fehidro[[#This Row],[Devolvido?]] = "Não", _xlfn.XLOOKUP(empreend_Fehidro[[#This Row],[UGRHI]] &amp; empreend_Fehidro[[#This Row],[PDC class]], PAPI!A:A &amp; PAPI!B:B,PAPI!C:C, " PDC não prioritário no PAPI"), "n/a")</f>
        <v>Prioritário</v>
      </c>
      <c r="L105" s="289" t="s">
        <v>95</v>
      </c>
    </row>
    <row r="106" spans="1:12" s="141" customFormat="1">
      <c r="A106" s="137">
        <f>VLOOKUP(E106,Dim_Colegiado[],2,FALSE)</f>
        <v>10</v>
      </c>
      <c r="B106" s="138" t="str">
        <f t="shared" si="1"/>
        <v>2020</v>
      </c>
      <c r="C106" s="139" t="s">
        <v>236</v>
      </c>
      <c r="D106" s="95"/>
      <c r="E106" s="95" t="s">
        <v>224</v>
      </c>
      <c r="F106" s="92">
        <v>296053.44</v>
      </c>
      <c r="G106" s="96" t="s">
        <v>101</v>
      </c>
      <c r="H106" s="72" t="s">
        <v>123</v>
      </c>
      <c r="I106" s="91">
        <v>12</v>
      </c>
      <c r="J106" s="91" t="str">
        <f>LEFT(empreend_Fehidro[[#This Row],[suBpdc classifc]],1)</f>
        <v>1</v>
      </c>
      <c r="K106" s="140" t="str" cm="1">
        <f t="array" ref="K106">IF(empreend_Fehidro[[#This Row],[Devolvido?]] = "Não", _xlfn.XLOOKUP(empreend_Fehidro[[#This Row],[UGRHI]] &amp; empreend_Fehidro[[#This Row],[PDC class]], PAPI!A:A &amp; PAPI!B:B,PAPI!C:C, " PDC não prioritário no PAPI"), "n/a")</f>
        <v>PDC 1 e 2</v>
      </c>
      <c r="L106" s="289" t="s">
        <v>96</v>
      </c>
    </row>
    <row r="107" spans="1:12" s="141" customFormat="1">
      <c r="A107" s="142">
        <f>VLOOKUP(E107,Dim_Colegiado[],2,FALSE)</f>
        <v>10</v>
      </c>
      <c r="B107" s="143" t="str">
        <f t="shared" si="1"/>
        <v>2020</v>
      </c>
      <c r="C107" s="144" t="s">
        <v>237</v>
      </c>
      <c r="D107" s="91"/>
      <c r="E107" s="91" t="s">
        <v>224</v>
      </c>
      <c r="F107" s="88">
        <v>287500</v>
      </c>
      <c r="G107" s="96" t="s">
        <v>101</v>
      </c>
      <c r="H107" s="72" t="s">
        <v>123</v>
      </c>
      <c r="I107" s="91">
        <v>12</v>
      </c>
      <c r="J107" s="91" t="str">
        <f>LEFT(empreend_Fehidro[[#This Row],[suBpdc classifc]],1)</f>
        <v>1</v>
      </c>
      <c r="K107" s="140" t="str" cm="1">
        <f t="array" ref="K107">IF(empreend_Fehidro[[#This Row],[Devolvido?]] = "Não", _xlfn.XLOOKUP(empreend_Fehidro[[#This Row],[UGRHI]] &amp; empreend_Fehidro[[#This Row],[PDC class]], PAPI!A:A &amp; PAPI!B:B,PAPI!C:C, " PDC não prioritário no PAPI"), "n/a")</f>
        <v>PDC 1 e 2</v>
      </c>
      <c r="L107" s="289" t="s">
        <v>96</v>
      </c>
    </row>
    <row r="108" spans="1:12">
      <c r="A108" s="137">
        <f>VLOOKUP(E108,Dim_Colegiado[],2,FALSE)</f>
        <v>10</v>
      </c>
      <c r="B108" s="138" t="str">
        <f t="shared" si="1"/>
        <v>2020</v>
      </c>
      <c r="C108" s="139" t="s">
        <v>238</v>
      </c>
      <c r="D108" s="95"/>
      <c r="E108" s="95" t="s">
        <v>224</v>
      </c>
      <c r="F108" s="92">
        <v>238613.02</v>
      </c>
      <c r="G108" s="96" t="s">
        <v>101</v>
      </c>
      <c r="H108" s="72" t="s">
        <v>123</v>
      </c>
      <c r="I108" s="91">
        <v>31</v>
      </c>
      <c r="J108" s="91" t="str">
        <f>LEFT(empreend_Fehidro[[#This Row],[suBpdc classifc]],1)</f>
        <v>3</v>
      </c>
      <c r="K108" s="140" t="str" cm="1">
        <f t="array" ref="K108">IF(empreend_Fehidro[[#This Row],[Devolvido?]] = "Não", _xlfn.XLOOKUP(empreend_Fehidro[[#This Row],[UGRHI]] &amp; empreend_Fehidro[[#This Row],[PDC class]], PAPI!A:A &amp; PAPI!B:B,PAPI!C:C, " PDC não prioritário no PAPI"), "n/a")</f>
        <v>Prioritário</v>
      </c>
      <c r="L108" s="289" t="s">
        <v>95</v>
      </c>
    </row>
    <row r="109" spans="1:12">
      <c r="A109" s="142">
        <f>VLOOKUP(E109,Dim_Colegiado[],2,FALSE)</f>
        <v>10</v>
      </c>
      <c r="B109" s="143" t="str">
        <f t="shared" si="1"/>
        <v>2020</v>
      </c>
      <c r="C109" s="144" t="s">
        <v>239</v>
      </c>
      <c r="D109" s="91"/>
      <c r="E109" s="91" t="s">
        <v>224</v>
      </c>
      <c r="F109" s="88">
        <v>236250</v>
      </c>
      <c r="G109" s="96" t="s">
        <v>101</v>
      </c>
      <c r="H109" s="72" t="s">
        <v>123</v>
      </c>
      <c r="I109" s="91">
        <v>82</v>
      </c>
      <c r="J109" s="91" t="str">
        <f>LEFT(empreend_Fehidro[[#This Row],[suBpdc classifc]],1)</f>
        <v>8</v>
      </c>
      <c r="K109" s="140" t="str" cm="1">
        <f t="array" ref="K109">IF(empreend_Fehidro[[#This Row],[Devolvido?]] = "Não", _xlfn.XLOOKUP(empreend_Fehidro[[#This Row],[UGRHI]] &amp; empreend_Fehidro[[#This Row],[PDC class]], PAPI!A:A &amp; PAPI!B:B,PAPI!C:C, " PDC não prioritário no PAPI"), "n/a")</f>
        <v>Não prioritário</v>
      </c>
      <c r="L109" s="289" t="s">
        <v>96</v>
      </c>
    </row>
    <row r="110" spans="1:12">
      <c r="A110" s="137">
        <f>VLOOKUP(E110,Dim_Colegiado[],2,FALSE)</f>
        <v>10</v>
      </c>
      <c r="B110" s="138" t="str">
        <f t="shared" si="1"/>
        <v>2020</v>
      </c>
      <c r="C110" s="139" t="s">
        <v>240</v>
      </c>
      <c r="D110" s="95"/>
      <c r="E110" s="95" t="s">
        <v>224</v>
      </c>
      <c r="F110" s="92">
        <v>235273.07</v>
      </c>
      <c r="G110" s="96" t="s">
        <v>101</v>
      </c>
      <c r="H110" s="72" t="s">
        <v>123</v>
      </c>
      <c r="I110" s="91">
        <v>33</v>
      </c>
      <c r="J110" s="91" t="str">
        <f>LEFT(empreend_Fehidro[[#This Row],[suBpdc classifc]],1)</f>
        <v>3</v>
      </c>
      <c r="K110" s="140" t="str" cm="1">
        <f t="array" ref="K110">IF(empreend_Fehidro[[#This Row],[Devolvido?]] = "Não", _xlfn.XLOOKUP(empreend_Fehidro[[#This Row],[UGRHI]] &amp; empreend_Fehidro[[#This Row],[PDC class]], PAPI!A:A &amp; PAPI!B:B,PAPI!C:C, " PDC não prioritário no PAPI"), "n/a")</f>
        <v>Prioritário</v>
      </c>
      <c r="L110" s="289" t="s">
        <v>95</v>
      </c>
    </row>
    <row r="111" spans="1:12">
      <c r="A111" s="142">
        <f>VLOOKUP(E111,Dim_Colegiado[],2,FALSE)</f>
        <v>10</v>
      </c>
      <c r="B111" s="143" t="str">
        <f t="shared" si="1"/>
        <v>2020</v>
      </c>
      <c r="C111" s="144" t="s">
        <v>241</v>
      </c>
      <c r="D111" s="91"/>
      <c r="E111" s="91" t="s">
        <v>224</v>
      </c>
      <c r="F111" s="88">
        <v>197362.14</v>
      </c>
      <c r="G111" s="96" t="s">
        <v>101</v>
      </c>
      <c r="H111" s="72" t="s">
        <v>123</v>
      </c>
      <c r="I111" s="91">
        <v>31</v>
      </c>
      <c r="J111" s="91" t="str">
        <f>LEFT(empreend_Fehidro[[#This Row],[suBpdc classifc]],1)</f>
        <v>3</v>
      </c>
      <c r="K111" s="140" t="str" cm="1">
        <f t="array" ref="K111">IF(empreend_Fehidro[[#This Row],[Devolvido?]] = "Não", _xlfn.XLOOKUP(empreend_Fehidro[[#This Row],[UGRHI]] &amp; empreend_Fehidro[[#This Row],[PDC class]], PAPI!A:A &amp; PAPI!B:B,PAPI!C:C, " PDC não prioritário no PAPI"), "n/a")</f>
        <v>Prioritário</v>
      </c>
      <c r="L111" s="289" t="s">
        <v>95</v>
      </c>
    </row>
    <row r="112" spans="1:12">
      <c r="A112" s="137">
        <f>VLOOKUP(E112,Dim_Colegiado[],2,FALSE)</f>
        <v>10</v>
      </c>
      <c r="B112" s="138" t="str">
        <f t="shared" si="1"/>
        <v>2020</v>
      </c>
      <c r="C112" s="139" t="s">
        <v>242</v>
      </c>
      <c r="D112" s="95"/>
      <c r="E112" s="95" t="s">
        <v>224</v>
      </c>
      <c r="F112" s="92">
        <v>194200</v>
      </c>
      <c r="G112" s="96" t="s">
        <v>101</v>
      </c>
      <c r="H112" s="72" t="s">
        <v>123</v>
      </c>
      <c r="I112" s="91">
        <v>12</v>
      </c>
      <c r="J112" s="91" t="str">
        <f>LEFT(empreend_Fehidro[[#This Row],[suBpdc classifc]],1)</f>
        <v>1</v>
      </c>
      <c r="K112" s="140" t="str" cm="1">
        <f t="array" ref="K112">IF(empreend_Fehidro[[#This Row],[Devolvido?]] = "Não", _xlfn.XLOOKUP(empreend_Fehidro[[#This Row],[UGRHI]] &amp; empreend_Fehidro[[#This Row],[PDC class]], PAPI!A:A &amp; PAPI!B:B,PAPI!C:C, " PDC não prioritário no PAPI"), "n/a")</f>
        <v>PDC 1 e 2</v>
      </c>
      <c r="L112" s="289" t="s">
        <v>96</v>
      </c>
    </row>
    <row r="113" spans="1:12">
      <c r="A113" s="142">
        <f>VLOOKUP(E113,Dim_Colegiado[],2,FALSE)</f>
        <v>10</v>
      </c>
      <c r="B113" s="143" t="str">
        <f t="shared" si="1"/>
        <v>2020</v>
      </c>
      <c r="C113" s="144" t="s">
        <v>243</v>
      </c>
      <c r="D113" s="91"/>
      <c r="E113" s="91" t="s">
        <v>224</v>
      </c>
      <c r="F113" s="88">
        <v>162000</v>
      </c>
      <c r="G113" s="96" t="s">
        <v>101</v>
      </c>
      <c r="H113" s="72" t="s">
        <v>123</v>
      </c>
      <c r="I113" s="91">
        <v>82</v>
      </c>
      <c r="J113" s="91" t="str">
        <f>LEFT(empreend_Fehidro[[#This Row],[suBpdc classifc]],1)</f>
        <v>8</v>
      </c>
      <c r="K113" s="140" t="str" cm="1">
        <f t="array" ref="K113">IF(empreend_Fehidro[[#This Row],[Devolvido?]] = "Não", _xlfn.XLOOKUP(empreend_Fehidro[[#This Row],[UGRHI]] &amp; empreend_Fehidro[[#This Row],[PDC class]], PAPI!A:A &amp; PAPI!B:B,PAPI!C:C, " PDC não prioritário no PAPI"), "n/a")</f>
        <v>Não prioritário</v>
      </c>
      <c r="L113" s="289" t="s">
        <v>96</v>
      </c>
    </row>
    <row r="114" spans="1:12">
      <c r="A114" s="137">
        <f>VLOOKUP(E114,Dim_Colegiado[],2,FALSE)</f>
        <v>11</v>
      </c>
      <c r="B114" s="138" t="str">
        <f t="shared" si="1"/>
        <v>2020</v>
      </c>
      <c r="C114" s="139" t="s">
        <v>244</v>
      </c>
      <c r="D114" s="95"/>
      <c r="E114" s="95" t="s">
        <v>245</v>
      </c>
      <c r="F114" s="92">
        <v>500000</v>
      </c>
      <c r="G114" s="96" t="s">
        <v>101</v>
      </c>
      <c r="H114" s="72" t="s">
        <v>123</v>
      </c>
      <c r="I114" s="91">
        <v>31</v>
      </c>
      <c r="J114" s="91" t="str">
        <f>LEFT(empreend_Fehidro[[#This Row],[suBpdc classifc]],1)</f>
        <v>3</v>
      </c>
      <c r="K114" s="140" t="str" cm="1">
        <f t="array" ref="K114">IF(empreend_Fehidro[[#This Row],[Devolvido?]] = "Não", _xlfn.XLOOKUP(empreend_Fehidro[[#This Row],[UGRHI]] &amp; empreend_Fehidro[[#This Row],[PDC class]], PAPI!A:A &amp; PAPI!B:B,PAPI!C:C, " PDC não prioritário no PAPI"), "n/a")</f>
        <v>Prioritário</v>
      </c>
      <c r="L114" s="289" t="s">
        <v>95</v>
      </c>
    </row>
    <row r="115" spans="1:12">
      <c r="A115" s="142">
        <f>VLOOKUP(E115,Dim_Colegiado[],2,FALSE)</f>
        <v>11</v>
      </c>
      <c r="B115" s="143" t="str">
        <f t="shared" si="1"/>
        <v>2020</v>
      </c>
      <c r="C115" s="144" t="s">
        <v>246</v>
      </c>
      <c r="D115" s="91"/>
      <c r="E115" s="91" t="s">
        <v>245</v>
      </c>
      <c r="F115" s="88">
        <v>500000</v>
      </c>
      <c r="G115" s="96" t="s">
        <v>101</v>
      </c>
      <c r="H115" s="72" t="s">
        <v>123</v>
      </c>
      <c r="I115" s="91">
        <v>31</v>
      </c>
      <c r="J115" s="91" t="str">
        <f>LEFT(empreend_Fehidro[[#This Row],[suBpdc classifc]],1)</f>
        <v>3</v>
      </c>
      <c r="K115" s="140" t="str" cm="1">
        <f t="array" ref="K115">IF(empreend_Fehidro[[#This Row],[Devolvido?]] = "Não", _xlfn.XLOOKUP(empreend_Fehidro[[#This Row],[UGRHI]] &amp; empreend_Fehidro[[#This Row],[PDC class]], PAPI!A:A &amp; PAPI!B:B,PAPI!C:C, " PDC não prioritário no PAPI"), "n/a")</f>
        <v>Prioritário</v>
      </c>
      <c r="L115" s="289" t="s">
        <v>95</v>
      </c>
    </row>
    <row r="116" spans="1:12">
      <c r="A116" s="137">
        <f>VLOOKUP(E116,Dim_Colegiado[],2,FALSE)</f>
        <v>11</v>
      </c>
      <c r="B116" s="138" t="str">
        <f t="shared" si="1"/>
        <v>2020</v>
      </c>
      <c r="C116" s="139" t="s">
        <v>247</v>
      </c>
      <c r="D116" s="95"/>
      <c r="E116" s="95" t="s">
        <v>245</v>
      </c>
      <c r="F116" s="92">
        <v>500000</v>
      </c>
      <c r="G116" s="96" t="s">
        <v>101</v>
      </c>
      <c r="H116" s="72" t="s">
        <v>123</v>
      </c>
      <c r="I116" s="91">
        <v>34</v>
      </c>
      <c r="J116" s="91" t="str">
        <f>LEFT(empreend_Fehidro[[#This Row],[suBpdc classifc]],1)</f>
        <v>3</v>
      </c>
      <c r="K116" s="140" t="str" cm="1">
        <f t="array" ref="K116">IF(empreend_Fehidro[[#This Row],[Devolvido?]] = "Não", _xlfn.XLOOKUP(empreend_Fehidro[[#This Row],[UGRHI]] &amp; empreend_Fehidro[[#This Row],[PDC class]], PAPI!A:A &amp; PAPI!B:B,PAPI!C:C, " PDC não prioritário no PAPI"), "n/a")</f>
        <v>Prioritário</v>
      </c>
      <c r="L116" s="289" t="s">
        <v>95</v>
      </c>
    </row>
    <row r="117" spans="1:12">
      <c r="A117" s="142">
        <f>VLOOKUP(E117,Dim_Colegiado[],2,FALSE)</f>
        <v>11</v>
      </c>
      <c r="B117" s="143" t="str">
        <f t="shared" si="1"/>
        <v>2020</v>
      </c>
      <c r="C117" s="144" t="s">
        <v>248</v>
      </c>
      <c r="D117" s="91"/>
      <c r="E117" s="91" t="s">
        <v>245</v>
      </c>
      <c r="F117" s="88">
        <v>500000</v>
      </c>
      <c r="G117" s="96" t="s">
        <v>101</v>
      </c>
      <c r="H117" s="72" t="s">
        <v>123</v>
      </c>
      <c r="I117" s="91">
        <v>31</v>
      </c>
      <c r="J117" s="91" t="str">
        <f>LEFT(empreend_Fehidro[[#This Row],[suBpdc classifc]],1)</f>
        <v>3</v>
      </c>
      <c r="K117" s="140" t="str" cm="1">
        <f t="array" ref="K117">IF(empreend_Fehidro[[#This Row],[Devolvido?]] = "Não", _xlfn.XLOOKUP(empreend_Fehidro[[#This Row],[UGRHI]] &amp; empreend_Fehidro[[#This Row],[PDC class]], PAPI!A:A &amp; PAPI!B:B,PAPI!C:C, " PDC não prioritário no PAPI"), "n/a")</f>
        <v>Prioritário</v>
      </c>
      <c r="L117" s="289" t="s">
        <v>95</v>
      </c>
    </row>
    <row r="118" spans="1:12">
      <c r="A118" s="137">
        <f>VLOOKUP(E118,Dim_Colegiado[],2,FALSE)</f>
        <v>11</v>
      </c>
      <c r="B118" s="138" t="str">
        <f t="shared" si="1"/>
        <v>2020</v>
      </c>
      <c r="C118" s="139" t="s">
        <v>249</v>
      </c>
      <c r="D118" s="95"/>
      <c r="E118" s="95" t="s">
        <v>245</v>
      </c>
      <c r="F118" s="92">
        <v>498938.99</v>
      </c>
      <c r="G118" s="96" t="s">
        <v>101</v>
      </c>
      <c r="H118" s="72" t="s">
        <v>123</v>
      </c>
      <c r="I118" s="91">
        <v>72</v>
      </c>
      <c r="J118" s="91" t="str">
        <f>LEFT(empreend_Fehidro[[#This Row],[suBpdc classifc]],1)</f>
        <v>7</v>
      </c>
      <c r="K118" s="140" t="str" cm="1">
        <f t="array" ref="K118">IF(empreend_Fehidro[[#This Row],[Devolvido?]] = "Não", _xlfn.XLOOKUP(empreend_Fehidro[[#This Row],[UGRHI]] &amp; empreend_Fehidro[[#This Row],[PDC class]], PAPI!A:A &amp; PAPI!B:B,PAPI!C:C, " PDC não prioritário no PAPI"), "n/a")</f>
        <v>Prioritário</v>
      </c>
      <c r="L118" s="289" t="s">
        <v>95</v>
      </c>
    </row>
    <row r="119" spans="1:12">
      <c r="A119" s="142">
        <f>VLOOKUP(E119,Dim_Colegiado[],2,FALSE)</f>
        <v>11</v>
      </c>
      <c r="B119" s="143" t="str">
        <f t="shared" si="1"/>
        <v>2020</v>
      </c>
      <c r="C119" s="144" t="s">
        <v>250</v>
      </c>
      <c r="D119" s="91"/>
      <c r="E119" s="91" t="s">
        <v>245</v>
      </c>
      <c r="F119" s="88">
        <v>498253.44</v>
      </c>
      <c r="G119" s="96" t="s">
        <v>101</v>
      </c>
      <c r="H119" s="72" t="s">
        <v>123</v>
      </c>
      <c r="I119" s="91">
        <v>72</v>
      </c>
      <c r="J119" s="91" t="str">
        <f>LEFT(empreend_Fehidro[[#This Row],[suBpdc classifc]],1)</f>
        <v>7</v>
      </c>
      <c r="K119" s="140" t="str" cm="1">
        <f t="array" ref="K119">IF(empreend_Fehidro[[#This Row],[Devolvido?]] = "Não", _xlfn.XLOOKUP(empreend_Fehidro[[#This Row],[UGRHI]] &amp; empreend_Fehidro[[#This Row],[PDC class]], PAPI!A:A &amp; PAPI!B:B,PAPI!C:C, " PDC não prioritário no PAPI"), "n/a")</f>
        <v>Prioritário</v>
      </c>
      <c r="L119" s="289" t="s">
        <v>95</v>
      </c>
    </row>
    <row r="120" spans="1:12">
      <c r="A120" s="137">
        <f>VLOOKUP(E120,Dim_Colegiado[],2,FALSE)</f>
        <v>11</v>
      </c>
      <c r="B120" s="138" t="str">
        <f t="shared" si="1"/>
        <v>2020</v>
      </c>
      <c r="C120" s="139" t="s">
        <v>251</v>
      </c>
      <c r="D120" s="95"/>
      <c r="E120" s="95" t="s">
        <v>245</v>
      </c>
      <c r="F120" s="92">
        <v>484111.33</v>
      </c>
      <c r="G120" s="96" t="s">
        <v>101</v>
      </c>
      <c r="H120" s="72" t="s">
        <v>123</v>
      </c>
      <c r="I120" s="91">
        <v>31</v>
      </c>
      <c r="J120" s="91" t="str">
        <f>LEFT(empreend_Fehidro[[#This Row],[suBpdc classifc]],1)</f>
        <v>3</v>
      </c>
      <c r="K120" s="140" t="str" cm="1">
        <f t="array" ref="K120">IF(empreend_Fehidro[[#This Row],[Devolvido?]] = "Não", _xlfn.XLOOKUP(empreend_Fehidro[[#This Row],[UGRHI]] &amp; empreend_Fehidro[[#This Row],[PDC class]], PAPI!A:A &amp; PAPI!B:B,PAPI!C:C, " PDC não prioritário no PAPI"), "n/a")</f>
        <v>Prioritário</v>
      </c>
      <c r="L120" s="289" t="s">
        <v>95</v>
      </c>
    </row>
    <row r="121" spans="1:12">
      <c r="A121" s="142">
        <f>VLOOKUP(E121,Dim_Colegiado[],2,FALSE)</f>
        <v>11</v>
      </c>
      <c r="B121" s="143" t="str">
        <f t="shared" si="1"/>
        <v>2020</v>
      </c>
      <c r="C121" s="144" t="s">
        <v>252</v>
      </c>
      <c r="D121" s="91"/>
      <c r="E121" s="91" t="s">
        <v>245</v>
      </c>
      <c r="F121" s="88">
        <v>459274.31</v>
      </c>
      <c r="G121" s="96" t="s">
        <v>101</v>
      </c>
      <c r="H121" s="72" t="s">
        <v>123</v>
      </c>
      <c r="I121" s="91">
        <v>31</v>
      </c>
      <c r="J121" s="91" t="str">
        <f>LEFT(empreend_Fehidro[[#This Row],[suBpdc classifc]],1)</f>
        <v>3</v>
      </c>
      <c r="K121" s="140" t="str" cm="1">
        <f t="array" ref="K121">IF(empreend_Fehidro[[#This Row],[Devolvido?]] = "Não", _xlfn.XLOOKUP(empreend_Fehidro[[#This Row],[UGRHI]] &amp; empreend_Fehidro[[#This Row],[PDC class]], PAPI!A:A &amp; PAPI!B:B,PAPI!C:C, " PDC não prioritário no PAPI"), "n/a")</f>
        <v>Prioritário</v>
      </c>
      <c r="L121" s="289" t="s">
        <v>95</v>
      </c>
    </row>
    <row r="122" spans="1:12">
      <c r="A122" s="137">
        <f>VLOOKUP(E122,Dim_Colegiado[],2,FALSE)</f>
        <v>11</v>
      </c>
      <c r="B122" s="138" t="str">
        <f t="shared" si="1"/>
        <v>2020</v>
      </c>
      <c r="C122" s="139" t="s">
        <v>253</v>
      </c>
      <c r="D122" s="95"/>
      <c r="E122" s="95" t="s">
        <v>245</v>
      </c>
      <c r="F122" s="92">
        <v>436392</v>
      </c>
      <c r="G122" s="96" t="s">
        <v>101</v>
      </c>
      <c r="H122" s="72" t="s">
        <v>123</v>
      </c>
      <c r="I122" s="91">
        <v>12</v>
      </c>
      <c r="J122" s="91" t="str">
        <f>LEFT(empreend_Fehidro[[#This Row],[suBpdc classifc]],1)</f>
        <v>1</v>
      </c>
      <c r="K122" s="140" t="str" cm="1">
        <f t="array" ref="K122">IF(empreend_Fehidro[[#This Row],[Devolvido?]] = "Não", _xlfn.XLOOKUP(empreend_Fehidro[[#This Row],[UGRHI]] &amp; empreend_Fehidro[[#This Row],[PDC class]], PAPI!A:A &amp; PAPI!B:B,PAPI!C:C, " PDC não prioritário no PAPI"), "n/a")</f>
        <v>PDC 1 e 2</v>
      </c>
      <c r="L122" s="289" t="s">
        <v>96</v>
      </c>
    </row>
    <row r="123" spans="1:12">
      <c r="A123" s="142">
        <f>VLOOKUP(E123,Dim_Colegiado[],2,FALSE)</f>
        <v>11</v>
      </c>
      <c r="B123" s="143" t="str">
        <f t="shared" si="1"/>
        <v>2020</v>
      </c>
      <c r="C123" s="144" t="s">
        <v>254</v>
      </c>
      <c r="D123" s="91"/>
      <c r="E123" s="91" t="s">
        <v>245</v>
      </c>
      <c r="F123" s="88">
        <v>299991.39</v>
      </c>
      <c r="G123" s="96" t="s">
        <v>101</v>
      </c>
      <c r="H123" s="72" t="s">
        <v>123</v>
      </c>
      <c r="I123" s="91">
        <v>81</v>
      </c>
      <c r="J123" s="91" t="str">
        <f>LEFT(empreend_Fehidro[[#This Row],[suBpdc classifc]],1)</f>
        <v>8</v>
      </c>
      <c r="K123" s="140" t="str" cm="1">
        <f t="array" ref="K123">IF(empreend_Fehidro[[#This Row],[Devolvido?]] = "Não", _xlfn.XLOOKUP(empreend_Fehidro[[#This Row],[UGRHI]] &amp; empreend_Fehidro[[#This Row],[PDC class]], PAPI!A:A &amp; PAPI!B:B,PAPI!C:C, " PDC não prioritário no PAPI"), "n/a")</f>
        <v>Não prioritário</v>
      </c>
      <c r="L123" s="289" t="s">
        <v>96</v>
      </c>
    </row>
    <row r="124" spans="1:12">
      <c r="A124" s="137">
        <f>VLOOKUP(E124,Dim_Colegiado[],2,FALSE)</f>
        <v>11</v>
      </c>
      <c r="B124" s="138" t="str">
        <f t="shared" si="1"/>
        <v>2020</v>
      </c>
      <c r="C124" s="139" t="s">
        <v>255</v>
      </c>
      <c r="D124" s="95"/>
      <c r="E124" s="95" t="s">
        <v>245</v>
      </c>
      <c r="F124" s="92">
        <v>299328</v>
      </c>
      <c r="G124" s="96" t="s">
        <v>101</v>
      </c>
      <c r="H124" s="72" t="s">
        <v>123</v>
      </c>
      <c r="I124" s="91">
        <v>42</v>
      </c>
      <c r="J124" s="91" t="str">
        <f>LEFT(empreend_Fehidro[[#This Row],[suBpdc classifc]],1)</f>
        <v>4</v>
      </c>
      <c r="K124" s="140" t="str" cm="1">
        <f t="array" ref="K124">IF(empreend_Fehidro[[#This Row],[Devolvido?]] = "Não", _xlfn.XLOOKUP(empreend_Fehidro[[#This Row],[UGRHI]] &amp; empreend_Fehidro[[#This Row],[PDC class]], PAPI!A:A &amp; PAPI!B:B,PAPI!C:C, " PDC não prioritário no PAPI"), "n/a")</f>
        <v>Prioritário</v>
      </c>
      <c r="L124" s="289" t="s">
        <v>95</v>
      </c>
    </row>
    <row r="125" spans="1:12">
      <c r="A125" s="142">
        <f>VLOOKUP(E125,Dim_Colegiado[],2,FALSE)</f>
        <v>11</v>
      </c>
      <c r="B125" s="143" t="str">
        <f t="shared" si="1"/>
        <v>2020</v>
      </c>
      <c r="C125" s="144" t="s">
        <v>256</v>
      </c>
      <c r="D125" s="91"/>
      <c r="E125" s="91" t="s">
        <v>245</v>
      </c>
      <c r="F125" s="88">
        <v>284800</v>
      </c>
      <c r="G125" s="96" t="s">
        <v>101</v>
      </c>
      <c r="H125" s="72" t="s">
        <v>123</v>
      </c>
      <c r="I125" s="91">
        <v>71</v>
      </c>
      <c r="J125" s="91" t="str">
        <f>LEFT(empreend_Fehidro[[#This Row],[suBpdc classifc]],1)</f>
        <v>7</v>
      </c>
      <c r="K125" s="140" t="str" cm="1">
        <f t="array" ref="K125">IF(empreend_Fehidro[[#This Row],[Devolvido?]] = "Não", _xlfn.XLOOKUP(empreend_Fehidro[[#This Row],[UGRHI]] &amp; empreend_Fehidro[[#This Row],[PDC class]], PAPI!A:A &amp; PAPI!B:B,PAPI!C:C, " PDC não prioritário no PAPI"), "n/a")</f>
        <v>Prioritário</v>
      </c>
      <c r="L125" s="289" t="s">
        <v>95</v>
      </c>
    </row>
    <row r="126" spans="1:12">
      <c r="A126" s="137">
        <f>VLOOKUP(E126,Dim_Colegiado[],2,FALSE)</f>
        <v>11</v>
      </c>
      <c r="B126" s="138" t="str">
        <f t="shared" si="1"/>
        <v>2020</v>
      </c>
      <c r="C126" s="139" t="s">
        <v>257</v>
      </c>
      <c r="D126" s="95"/>
      <c r="E126" s="95" t="s">
        <v>245</v>
      </c>
      <c r="F126" s="92">
        <v>280797.06</v>
      </c>
      <c r="G126" s="96" t="s">
        <v>101</v>
      </c>
      <c r="H126" s="72" t="s">
        <v>123</v>
      </c>
      <c r="I126" s="91">
        <v>72</v>
      </c>
      <c r="J126" s="91" t="str">
        <f>LEFT(empreend_Fehidro[[#This Row],[suBpdc classifc]],1)</f>
        <v>7</v>
      </c>
      <c r="K126" s="140" t="str" cm="1">
        <f t="array" ref="K126">IF(empreend_Fehidro[[#This Row],[Devolvido?]] = "Não", _xlfn.XLOOKUP(empreend_Fehidro[[#This Row],[UGRHI]] &amp; empreend_Fehidro[[#This Row],[PDC class]], PAPI!A:A &amp; PAPI!B:B,PAPI!C:C, " PDC não prioritário no PAPI"), "n/a")</f>
        <v>Prioritário</v>
      </c>
      <c r="L126" s="289" t="s">
        <v>95</v>
      </c>
    </row>
    <row r="127" spans="1:12">
      <c r="A127" s="142">
        <f>VLOOKUP(E127,Dim_Colegiado[],2,FALSE)</f>
        <v>11</v>
      </c>
      <c r="B127" s="143" t="str">
        <f t="shared" si="1"/>
        <v>2020</v>
      </c>
      <c r="C127" s="144" t="s">
        <v>258</v>
      </c>
      <c r="D127" s="91"/>
      <c r="E127" s="91" t="s">
        <v>245</v>
      </c>
      <c r="F127" s="88">
        <v>276360</v>
      </c>
      <c r="G127" s="96" t="s">
        <v>101</v>
      </c>
      <c r="H127" s="72" t="s">
        <v>123</v>
      </c>
      <c r="I127" s="91">
        <v>32</v>
      </c>
      <c r="J127" s="91" t="str">
        <f>LEFT(empreend_Fehidro[[#This Row],[suBpdc classifc]],1)</f>
        <v>3</v>
      </c>
      <c r="K127" s="140" t="str" cm="1">
        <f t="array" ref="K127">IF(empreend_Fehidro[[#This Row],[Devolvido?]] = "Não", _xlfn.XLOOKUP(empreend_Fehidro[[#This Row],[UGRHI]] &amp; empreend_Fehidro[[#This Row],[PDC class]], PAPI!A:A &amp; PAPI!B:B,PAPI!C:C, " PDC não prioritário no PAPI"), "n/a")</f>
        <v>Prioritário</v>
      </c>
      <c r="L127" s="289" t="s">
        <v>95</v>
      </c>
    </row>
    <row r="128" spans="1:12">
      <c r="A128" s="137">
        <f>VLOOKUP(E128,Dim_Colegiado[],2,FALSE)</f>
        <v>11</v>
      </c>
      <c r="B128" s="138" t="str">
        <f t="shared" si="1"/>
        <v>2020</v>
      </c>
      <c r="C128" s="139" t="s">
        <v>259</v>
      </c>
      <c r="D128" s="95"/>
      <c r="E128" s="95" t="s">
        <v>245</v>
      </c>
      <c r="F128" s="92">
        <v>225000</v>
      </c>
      <c r="G128" s="96" t="s">
        <v>101</v>
      </c>
      <c r="H128" s="72" t="s">
        <v>123</v>
      </c>
      <c r="I128" s="91">
        <v>12</v>
      </c>
      <c r="J128" s="91" t="str">
        <f>LEFT(empreend_Fehidro[[#This Row],[suBpdc classifc]],1)</f>
        <v>1</v>
      </c>
      <c r="K128" s="140" t="str" cm="1">
        <f t="array" ref="K128">IF(empreend_Fehidro[[#This Row],[Devolvido?]] = "Não", _xlfn.XLOOKUP(empreend_Fehidro[[#This Row],[UGRHI]] &amp; empreend_Fehidro[[#This Row],[PDC class]], PAPI!A:A &amp; PAPI!B:B,PAPI!C:C, " PDC não prioritário no PAPI"), "n/a")</f>
        <v>PDC 1 e 2</v>
      </c>
      <c r="L128" s="289" t="s">
        <v>96</v>
      </c>
    </row>
    <row r="129" spans="1:12">
      <c r="A129" s="142">
        <f>VLOOKUP(E129,Dim_Colegiado[],2,FALSE)</f>
        <v>11</v>
      </c>
      <c r="B129" s="143" t="str">
        <f t="shared" si="1"/>
        <v>2020</v>
      </c>
      <c r="C129" s="144" t="s">
        <v>260</v>
      </c>
      <c r="D129" s="91"/>
      <c r="E129" s="91" t="s">
        <v>245</v>
      </c>
      <c r="F129" s="88">
        <v>225000</v>
      </c>
      <c r="G129" s="96" t="s">
        <v>101</v>
      </c>
      <c r="H129" s="72" t="s">
        <v>123</v>
      </c>
      <c r="I129" s="91">
        <v>12</v>
      </c>
      <c r="J129" s="91" t="str">
        <f>LEFT(empreend_Fehidro[[#This Row],[suBpdc classifc]],1)</f>
        <v>1</v>
      </c>
      <c r="K129" s="140" t="str" cm="1">
        <f t="array" ref="K129">IF(empreend_Fehidro[[#This Row],[Devolvido?]] = "Não", _xlfn.XLOOKUP(empreend_Fehidro[[#This Row],[UGRHI]] &amp; empreend_Fehidro[[#This Row],[PDC class]], PAPI!A:A &amp; PAPI!B:B,PAPI!C:C, " PDC não prioritário no PAPI"), "n/a")</f>
        <v>PDC 1 e 2</v>
      </c>
      <c r="L129" s="289" t="s">
        <v>96</v>
      </c>
    </row>
    <row r="130" spans="1:12" s="141" customFormat="1">
      <c r="A130" s="137">
        <f>VLOOKUP(E130,Dim_Colegiado[],2,FALSE)</f>
        <v>11</v>
      </c>
      <c r="B130" s="138" t="str">
        <f t="shared" ref="B130:B193" si="2">LEFT(C130,4)</f>
        <v>2020</v>
      </c>
      <c r="C130" s="139" t="s">
        <v>261</v>
      </c>
      <c r="D130" s="95"/>
      <c r="E130" s="95" t="s">
        <v>245</v>
      </c>
      <c r="F130" s="92">
        <v>199926</v>
      </c>
      <c r="G130" s="96" t="s">
        <v>101</v>
      </c>
      <c r="H130" s="72" t="s">
        <v>123</v>
      </c>
      <c r="I130" s="91">
        <v>82</v>
      </c>
      <c r="J130" s="91" t="str">
        <f>LEFT(empreend_Fehidro[[#This Row],[suBpdc classifc]],1)</f>
        <v>8</v>
      </c>
      <c r="K130" s="140" t="str" cm="1">
        <f t="array" ref="K130">IF(empreend_Fehidro[[#This Row],[Devolvido?]] = "Não", _xlfn.XLOOKUP(empreend_Fehidro[[#This Row],[UGRHI]] &amp; empreend_Fehidro[[#This Row],[PDC class]], PAPI!A:A &amp; PAPI!B:B,PAPI!C:C, " PDC não prioritário no PAPI"), "n/a")</f>
        <v>Não prioritário</v>
      </c>
      <c r="L130" s="289" t="s">
        <v>96</v>
      </c>
    </row>
    <row r="131" spans="1:12" s="141" customFormat="1">
      <c r="A131" s="142">
        <f>VLOOKUP(E131,Dim_Colegiado[],2,FALSE)</f>
        <v>11</v>
      </c>
      <c r="B131" s="143" t="str">
        <f t="shared" si="2"/>
        <v>2020</v>
      </c>
      <c r="C131" s="144" t="s">
        <v>262</v>
      </c>
      <c r="D131" s="91"/>
      <c r="E131" s="91" t="s">
        <v>245</v>
      </c>
      <c r="F131" s="88">
        <v>195000</v>
      </c>
      <c r="G131" s="96" t="s">
        <v>101</v>
      </c>
      <c r="H131" s="72" t="s">
        <v>123</v>
      </c>
      <c r="I131" s="91">
        <v>32</v>
      </c>
      <c r="J131" s="91" t="str">
        <f>LEFT(empreend_Fehidro[[#This Row],[suBpdc classifc]],1)</f>
        <v>3</v>
      </c>
      <c r="K131" s="140" t="str" cm="1">
        <f t="array" ref="K131">IF(empreend_Fehidro[[#This Row],[Devolvido?]] = "Não", _xlfn.XLOOKUP(empreend_Fehidro[[#This Row],[UGRHI]] &amp; empreend_Fehidro[[#This Row],[PDC class]], PAPI!A:A &amp; PAPI!B:B,PAPI!C:C, " PDC não prioritário no PAPI"), "n/a")</f>
        <v>Prioritário</v>
      </c>
      <c r="L131" s="289" t="s">
        <v>95</v>
      </c>
    </row>
    <row r="132" spans="1:12" s="141" customFormat="1">
      <c r="A132" s="137">
        <f>VLOOKUP(E132,Dim_Colegiado[],2,FALSE)</f>
        <v>11</v>
      </c>
      <c r="B132" s="138" t="str">
        <f t="shared" si="2"/>
        <v>2020</v>
      </c>
      <c r="C132" s="139" t="s">
        <v>263</v>
      </c>
      <c r="D132" s="95"/>
      <c r="E132" s="95" t="s">
        <v>245</v>
      </c>
      <c r="F132" s="92">
        <v>186200</v>
      </c>
      <c r="G132" s="96" t="s">
        <v>101</v>
      </c>
      <c r="H132" s="72" t="s">
        <v>123</v>
      </c>
      <c r="I132" s="91">
        <v>32</v>
      </c>
      <c r="J132" s="91" t="str">
        <f>LEFT(empreend_Fehidro[[#This Row],[suBpdc classifc]],1)</f>
        <v>3</v>
      </c>
      <c r="K132" s="140" t="str" cm="1">
        <f t="array" ref="K132">IF(empreend_Fehidro[[#This Row],[Devolvido?]] = "Não", _xlfn.XLOOKUP(empreend_Fehidro[[#This Row],[UGRHI]] &amp; empreend_Fehidro[[#This Row],[PDC class]], PAPI!A:A &amp; PAPI!B:B,PAPI!C:C, " PDC não prioritário no PAPI"), "n/a")</f>
        <v>Prioritário</v>
      </c>
      <c r="L132" s="289" t="s">
        <v>95</v>
      </c>
    </row>
    <row r="133" spans="1:12" s="141" customFormat="1">
      <c r="A133" s="142">
        <f>VLOOKUP(E133,Dim_Colegiado[],2,FALSE)</f>
        <v>11</v>
      </c>
      <c r="B133" s="143" t="str">
        <f t="shared" si="2"/>
        <v>2020</v>
      </c>
      <c r="C133" s="144" t="s">
        <v>264</v>
      </c>
      <c r="D133" s="91"/>
      <c r="E133" s="91" t="s">
        <v>245</v>
      </c>
      <c r="F133" s="88">
        <v>180572.42</v>
      </c>
      <c r="G133" s="96" t="s">
        <v>101</v>
      </c>
      <c r="H133" s="72" t="s">
        <v>123</v>
      </c>
      <c r="I133" s="91">
        <v>32</v>
      </c>
      <c r="J133" s="91" t="str">
        <f>LEFT(empreend_Fehidro[[#This Row],[suBpdc classifc]],1)</f>
        <v>3</v>
      </c>
      <c r="K133" s="140" t="str" cm="1">
        <f t="array" ref="K133">IF(empreend_Fehidro[[#This Row],[Devolvido?]] = "Não", _xlfn.XLOOKUP(empreend_Fehidro[[#This Row],[UGRHI]] &amp; empreend_Fehidro[[#This Row],[PDC class]], PAPI!A:A &amp; PAPI!B:B,PAPI!C:C, " PDC não prioritário no PAPI"), "n/a")</f>
        <v>Prioritário</v>
      </c>
      <c r="L133" s="289" t="s">
        <v>95</v>
      </c>
    </row>
    <row r="134" spans="1:12" s="141" customFormat="1">
      <c r="A134" s="137">
        <f>VLOOKUP(E134,Dim_Colegiado[],2,FALSE)</f>
        <v>11</v>
      </c>
      <c r="B134" s="138" t="str">
        <f t="shared" si="2"/>
        <v>2020</v>
      </c>
      <c r="C134" s="139" t="s">
        <v>265</v>
      </c>
      <c r="D134" s="95"/>
      <c r="E134" s="95" t="s">
        <v>245</v>
      </c>
      <c r="F134" s="92">
        <v>150000</v>
      </c>
      <c r="G134" s="96" t="s">
        <v>101</v>
      </c>
      <c r="H134" s="72" t="s">
        <v>123</v>
      </c>
      <c r="I134" s="91">
        <v>11</v>
      </c>
      <c r="J134" s="91" t="str">
        <f>LEFT(empreend_Fehidro[[#This Row],[suBpdc classifc]],1)</f>
        <v>1</v>
      </c>
      <c r="K134" s="140" t="str" cm="1">
        <f t="array" ref="K134">IF(empreend_Fehidro[[#This Row],[Devolvido?]] = "Não", _xlfn.XLOOKUP(empreend_Fehidro[[#This Row],[UGRHI]] &amp; empreend_Fehidro[[#This Row],[PDC class]], PAPI!A:A &amp; PAPI!B:B,PAPI!C:C, " PDC não prioritário no PAPI"), "n/a")</f>
        <v>PDC 1 e 2</v>
      </c>
      <c r="L134" s="289" t="s">
        <v>96</v>
      </c>
    </row>
    <row r="135" spans="1:12" s="141" customFormat="1" ht="11.25" customHeight="1">
      <c r="A135" s="142">
        <f>VLOOKUP(E135,Dim_Colegiado[],2,FALSE)</f>
        <v>12</v>
      </c>
      <c r="B135" s="143" t="str">
        <f t="shared" si="2"/>
        <v>2020</v>
      </c>
      <c r="C135" s="144" t="s">
        <v>266</v>
      </c>
      <c r="D135" s="91"/>
      <c r="E135" s="91" t="s">
        <v>267</v>
      </c>
      <c r="F135" s="88">
        <v>596775.96</v>
      </c>
      <c r="G135" s="96" t="s">
        <v>101</v>
      </c>
      <c r="H135" s="72" t="s">
        <v>123</v>
      </c>
      <c r="I135" s="91">
        <v>51</v>
      </c>
      <c r="J135" s="91" t="str">
        <f>LEFT(empreend_Fehidro[[#This Row],[suBpdc classifc]],1)</f>
        <v>5</v>
      </c>
      <c r="K135" s="140" t="str" cm="1">
        <f t="array" ref="K135">IF(empreend_Fehidro[[#This Row],[Devolvido?]] = "Não", _xlfn.XLOOKUP(empreend_Fehidro[[#This Row],[UGRHI]] &amp; empreend_Fehidro[[#This Row],[PDC class]], PAPI!A:A &amp; PAPI!B:B,PAPI!C:C, " PDC não prioritário no PAPI"), "n/a")</f>
        <v>Prioritário</v>
      </c>
      <c r="L135" s="289" t="s">
        <v>95</v>
      </c>
    </row>
    <row r="136" spans="1:12" s="141" customFormat="1" ht="11.25" customHeight="1">
      <c r="A136" s="137">
        <f>VLOOKUP(E136,Dim_Colegiado[],2,FALSE)</f>
        <v>12</v>
      </c>
      <c r="B136" s="138" t="str">
        <f t="shared" si="2"/>
        <v>2020</v>
      </c>
      <c r="C136" s="139" t="s">
        <v>268</v>
      </c>
      <c r="D136" s="95"/>
      <c r="E136" s="95" t="s">
        <v>267</v>
      </c>
      <c r="F136" s="92">
        <v>358377.88</v>
      </c>
      <c r="G136" s="96" t="s">
        <v>101</v>
      </c>
      <c r="H136" s="72" t="s">
        <v>123</v>
      </c>
      <c r="I136" s="91">
        <v>31</v>
      </c>
      <c r="J136" s="91" t="str">
        <f>LEFT(empreend_Fehidro[[#This Row],[suBpdc classifc]],1)</f>
        <v>3</v>
      </c>
      <c r="K136" s="140" t="str" cm="1">
        <f t="array" ref="K136">IF(empreend_Fehidro[[#This Row],[Devolvido?]] = "Não", _xlfn.XLOOKUP(empreend_Fehidro[[#This Row],[UGRHI]] &amp; empreend_Fehidro[[#This Row],[PDC class]], PAPI!A:A &amp; PAPI!B:B,PAPI!C:C, " PDC não prioritário no PAPI"), "n/a")</f>
        <v>Prioritário</v>
      </c>
      <c r="L136" s="289" t="s">
        <v>95</v>
      </c>
    </row>
    <row r="137" spans="1:12" s="141" customFormat="1" ht="11.25" customHeight="1">
      <c r="A137" s="142">
        <f>VLOOKUP(E137,Dim_Colegiado[],2,FALSE)</f>
        <v>12</v>
      </c>
      <c r="B137" s="143" t="str">
        <f t="shared" si="2"/>
        <v>2020</v>
      </c>
      <c r="C137" s="144" t="s">
        <v>269</v>
      </c>
      <c r="D137" s="91"/>
      <c r="E137" s="91" t="s">
        <v>267</v>
      </c>
      <c r="F137" s="88">
        <v>318152.08</v>
      </c>
      <c r="G137" s="96" t="s">
        <v>101</v>
      </c>
      <c r="H137" s="72" t="s">
        <v>123</v>
      </c>
      <c r="I137" s="91">
        <v>51</v>
      </c>
      <c r="J137" s="91" t="str">
        <f>LEFT(empreend_Fehidro[[#This Row],[suBpdc classifc]],1)</f>
        <v>5</v>
      </c>
      <c r="K137" s="140" t="str" cm="1">
        <f t="array" ref="K137">IF(empreend_Fehidro[[#This Row],[Devolvido?]] = "Não", _xlfn.XLOOKUP(empreend_Fehidro[[#This Row],[UGRHI]] &amp; empreend_Fehidro[[#This Row],[PDC class]], PAPI!A:A &amp; PAPI!B:B,PAPI!C:C, " PDC não prioritário no PAPI"), "n/a")</f>
        <v>Prioritário</v>
      </c>
      <c r="L137" s="289" t="s">
        <v>95</v>
      </c>
    </row>
    <row r="138" spans="1:12" s="141" customFormat="1">
      <c r="A138" s="137">
        <f>VLOOKUP(E138,Dim_Colegiado[],2,FALSE)</f>
        <v>12</v>
      </c>
      <c r="B138" s="138" t="str">
        <f t="shared" si="2"/>
        <v>2020</v>
      </c>
      <c r="C138" s="139" t="s">
        <v>270</v>
      </c>
      <c r="D138" s="95"/>
      <c r="E138" s="95" t="s">
        <v>267</v>
      </c>
      <c r="F138" s="92">
        <v>235000</v>
      </c>
      <c r="G138" s="96" t="s">
        <v>101</v>
      </c>
      <c r="H138" s="72" t="s">
        <v>123</v>
      </c>
      <c r="I138" s="91">
        <v>14</v>
      </c>
      <c r="J138" s="91" t="str">
        <f>LEFT(empreend_Fehidro[[#This Row],[suBpdc classifc]],1)</f>
        <v>1</v>
      </c>
      <c r="K138" s="140" t="str" cm="1">
        <f t="array" ref="K138">IF(empreend_Fehidro[[#This Row],[Devolvido?]] = "Não", _xlfn.XLOOKUP(empreend_Fehidro[[#This Row],[UGRHI]] &amp; empreend_Fehidro[[#This Row],[PDC class]], PAPI!A:A &amp; PAPI!B:B,PAPI!C:C, " PDC não prioritário no PAPI"), "n/a")</f>
        <v>PDC 1 e 2</v>
      </c>
      <c r="L138" s="289" t="s">
        <v>95</v>
      </c>
    </row>
    <row r="139" spans="1:12" s="141" customFormat="1" ht="11.25" customHeight="1">
      <c r="A139" s="142">
        <f>VLOOKUP(E139,Dim_Colegiado[],2,FALSE)</f>
        <v>12</v>
      </c>
      <c r="B139" s="143" t="str">
        <f t="shared" si="2"/>
        <v>2020</v>
      </c>
      <c r="C139" s="144" t="s">
        <v>271</v>
      </c>
      <c r="D139" s="91"/>
      <c r="E139" s="91" t="s">
        <v>267</v>
      </c>
      <c r="F139" s="88">
        <v>224088.76</v>
      </c>
      <c r="G139" s="96" t="s">
        <v>101</v>
      </c>
      <c r="H139" s="72" t="s">
        <v>123</v>
      </c>
      <c r="I139" s="91">
        <v>31</v>
      </c>
      <c r="J139" s="91" t="str">
        <f>LEFT(empreend_Fehidro[[#This Row],[suBpdc classifc]],1)</f>
        <v>3</v>
      </c>
      <c r="K139" s="140" t="str" cm="1">
        <f t="array" ref="K139">IF(empreend_Fehidro[[#This Row],[Devolvido?]] = "Não", _xlfn.XLOOKUP(empreend_Fehidro[[#This Row],[UGRHI]] &amp; empreend_Fehidro[[#This Row],[PDC class]], PAPI!A:A &amp; PAPI!B:B,PAPI!C:C, " PDC não prioritário no PAPI"), "n/a")</f>
        <v>Prioritário</v>
      </c>
      <c r="L139" s="289" t="s">
        <v>95</v>
      </c>
    </row>
    <row r="140" spans="1:12" s="141" customFormat="1">
      <c r="A140" s="137">
        <f>VLOOKUP(E140,Dim_Colegiado[],2,FALSE)</f>
        <v>13</v>
      </c>
      <c r="B140" s="138" t="str">
        <f t="shared" si="2"/>
        <v>2020</v>
      </c>
      <c r="C140" s="139" t="s">
        <v>272</v>
      </c>
      <c r="D140" s="95"/>
      <c r="E140" s="95" t="s">
        <v>273</v>
      </c>
      <c r="F140" s="92">
        <v>1153070</v>
      </c>
      <c r="G140" s="96" t="s">
        <v>101</v>
      </c>
      <c r="H140" s="72" t="s">
        <v>123</v>
      </c>
      <c r="I140" s="91">
        <v>12</v>
      </c>
      <c r="J140" s="91" t="str">
        <f>LEFT(empreend_Fehidro[[#This Row],[suBpdc classifc]],1)</f>
        <v>1</v>
      </c>
      <c r="K140" s="140" t="str" cm="1">
        <f t="array" ref="K140">IF(empreend_Fehidro[[#This Row],[Devolvido?]] = "Não", _xlfn.XLOOKUP(empreend_Fehidro[[#This Row],[UGRHI]] &amp; empreend_Fehidro[[#This Row],[PDC class]], PAPI!A:A &amp; PAPI!B:B,PAPI!C:C, " PDC não prioritário no PAPI"), "n/a")</f>
        <v>PDC 1 e 2</v>
      </c>
      <c r="L140" s="289" t="s">
        <v>96</v>
      </c>
    </row>
    <row r="141" spans="1:12" s="141" customFormat="1" ht="11.25" customHeight="1">
      <c r="A141" s="142">
        <f>VLOOKUP(E141,Dim_Colegiado[],2,FALSE)</f>
        <v>13</v>
      </c>
      <c r="B141" s="143" t="str">
        <f t="shared" si="2"/>
        <v>2020</v>
      </c>
      <c r="C141" s="144" t="s">
        <v>274</v>
      </c>
      <c r="D141" s="91"/>
      <c r="E141" s="91" t="s">
        <v>273</v>
      </c>
      <c r="F141" s="88">
        <v>1103637.75</v>
      </c>
      <c r="G141" s="96" t="s">
        <v>101</v>
      </c>
      <c r="H141" s="72" t="s">
        <v>123</v>
      </c>
      <c r="I141" s="91">
        <v>51</v>
      </c>
      <c r="J141" s="91" t="str">
        <f>LEFT(empreend_Fehidro[[#This Row],[suBpdc classifc]],1)</f>
        <v>5</v>
      </c>
      <c r="K141" s="140" t="str" cm="1">
        <f t="array" ref="K141">IF(empreend_Fehidro[[#This Row],[Devolvido?]] = "Não", _xlfn.XLOOKUP(empreend_Fehidro[[#This Row],[UGRHI]] &amp; empreend_Fehidro[[#This Row],[PDC class]], PAPI!A:A &amp; PAPI!B:B,PAPI!C:C, " PDC não prioritário no PAPI"), "n/a")</f>
        <v>Prioritário</v>
      </c>
      <c r="L141" s="289" t="s">
        <v>95</v>
      </c>
    </row>
    <row r="142" spans="1:12" s="141" customFormat="1">
      <c r="A142" s="137">
        <f>VLOOKUP(E142,Dim_Colegiado[],2,FALSE)</f>
        <v>13</v>
      </c>
      <c r="B142" s="138" t="str">
        <f t="shared" si="2"/>
        <v>2020</v>
      </c>
      <c r="C142" s="139" t="s">
        <v>275</v>
      </c>
      <c r="D142" s="95"/>
      <c r="E142" s="95" t="s">
        <v>273</v>
      </c>
      <c r="F142" s="92">
        <v>965111.08</v>
      </c>
      <c r="G142" s="96" t="s">
        <v>101</v>
      </c>
      <c r="H142" s="72" t="s">
        <v>123</v>
      </c>
      <c r="I142" s="91">
        <v>42</v>
      </c>
      <c r="J142" s="91" t="str">
        <f>LEFT(empreend_Fehidro[[#This Row],[suBpdc classifc]],1)</f>
        <v>4</v>
      </c>
      <c r="K142" s="140" t="str" cm="1">
        <f t="array" ref="K142">IF(empreend_Fehidro[[#This Row],[Devolvido?]] = "Não", _xlfn.XLOOKUP(empreend_Fehidro[[#This Row],[UGRHI]] &amp; empreend_Fehidro[[#This Row],[PDC class]], PAPI!A:A &amp; PAPI!B:B,PAPI!C:C, " PDC não prioritário no PAPI"), "n/a")</f>
        <v>Prioritário</v>
      </c>
      <c r="L142" s="289" t="s">
        <v>95</v>
      </c>
    </row>
    <row r="143" spans="1:12" s="141" customFormat="1" ht="11.25" customHeight="1">
      <c r="A143" s="142">
        <f>VLOOKUP(E143,Dim_Colegiado[],2,FALSE)</f>
        <v>13</v>
      </c>
      <c r="B143" s="143" t="str">
        <f t="shared" si="2"/>
        <v>2020</v>
      </c>
      <c r="C143" s="144" t="s">
        <v>276</v>
      </c>
      <c r="D143" s="91"/>
      <c r="E143" s="91" t="s">
        <v>273</v>
      </c>
      <c r="F143" s="88">
        <v>840409.65</v>
      </c>
      <c r="G143" s="96" t="s">
        <v>101</v>
      </c>
      <c r="H143" s="72" t="s">
        <v>123</v>
      </c>
      <c r="I143" s="91">
        <v>31</v>
      </c>
      <c r="J143" s="91" t="str">
        <f>LEFT(empreend_Fehidro[[#This Row],[suBpdc classifc]],1)</f>
        <v>3</v>
      </c>
      <c r="K143" s="140" t="str" cm="1">
        <f t="array" ref="K143">IF(empreend_Fehidro[[#This Row],[Devolvido?]] = "Não", _xlfn.XLOOKUP(empreend_Fehidro[[#This Row],[UGRHI]] &amp; empreend_Fehidro[[#This Row],[PDC class]], PAPI!A:A &amp; PAPI!B:B,PAPI!C:C, " PDC não prioritário no PAPI"), "n/a")</f>
        <v>Prioritário</v>
      </c>
      <c r="L143" s="289" t="s">
        <v>95</v>
      </c>
    </row>
    <row r="144" spans="1:12" s="141" customFormat="1" ht="11.25" customHeight="1">
      <c r="A144" s="137">
        <f>VLOOKUP(E144,Dim_Colegiado[],2,FALSE)</f>
        <v>13</v>
      </c>
      <c r="B144" s="138" t="str">
        <f t="shared" si="2"/>
        <v>2020</v>
      </c>
      <c r="C144" s="139" t="s">
        <v>277</v>
      </c>
      <c r="D144" s="95"/>
      <c r="E144" s="95" t="s">
        <v>273</v>
      </c>
      <c r="F144" s="92">
        <v>507626.31</v>
      </c>
      <c r="G144" s="96" t="s">
        <v>101</v>
      </c>
      <c r="H144" s="72" t="s">
        <v>123</v>
      </c>
      <c r="I144" s="91">
        <v>31</v>
      </c>
      <c r="J144" s="91" t="str">
        <f>LEFT(empreend_Fehidro[[#This Row],[suBpdc classifc]],1)</f>
        <v>3</v>
      </c>
      <c r="K144" s="140" t="str" cm="1">
        <f t="array" ref="K144">IF(empreend_Fehidro[[#This Row],[Devolvido?]] = "Não", _xlfn.XLOOKUP(empreend_Fehidro[[#This Row],[UGRHI]] &amp; empreend_Fehidro[[#This Row],[PDC class]], PAPI!A:A &amp; PAPI!B:B,PAPI!C:C, " PDC não prioritário no PAPI"), "n/a")</f>
        <v>Prioritário</v>
      </c>
      <c r="L144" s="289" t="s">
        <v>95</v>
      </c>
    </row>
    <row r="145" spans="1:12" s="141" customFormat="1" ht="11.25" customHeight="1">
      <c r="A145" s="142">
        <f>VLOOKUP(E145,Dim_Colegiado[],2,FALSE)</f>
        <v>13</v>
      </c>
      <c r="B145" s="143" t="str">
        <f t="shared" si="2"/>
        <v>2020</v>
      </c>
      <c r="C145" s="144" t="s">
        <v>278</v>
      </c>
      <c r="D145" s="91"/>
      <c r="E145" s="91" t="s">
        <v>273</v>
      </c>
      <c r="F145" s="88">
        <v>385000</v>
      </c>
      <c r="G145" s="96" t="s">
        <v>101</v>
      </c>
      <c r="H145" s="72" t="s">
        <v>123</v>
      </c>
      <c r="I145" s="91">
        <v>32</v>
      </c>
      <c r="J145" s="91" t="str">
        <f>LEFT(empreend_Fehidro[[#This Row],[suBpdc classifc]],1)</f>
        <v>3</v>
      </c>
      <c r="K145" s="140" t="str" cm="1">
        <f t="array" ref="K145">IF(empreend_Fehidro[[#This Row],[Devolvido?]] = "Não", _xlfn.XLOOKUP(empreend_Fehidro[[#This Row],[UGRHI]] &amp; empreend_Fehidro[[#This Row],[PDC class]], PAPI!A:A &amp; PAPI!B:B,PAPI!C:C, " PDC não prioritário no PAPI"), "n/a")</f>
        <v>Prioritário</v>
      </c>
      <c r="L145" s="289" t="s">
        <v>95</v>
      </c>
    </row>
    <row r="146" spans="1:12" s="141" customFormat="1">
      <c r="A146" s="137">
        <f>VLOOKUP(E146,Dim_Colegiado[],2,FALSE)</f>
        <v>13</v>
      </c>
      <c r="B146" s="138" t="str">
        <f t="shared" si="2"/>
        <v>2020</v>
      </c>
      <c r="C146" s="139" t="s">
        <v>279</v>
      </c>
      <c r="D146" s="95"/>
      <c r="E146" s="95" t="s">
        <v>273</v>
      </c>
      <c r="F146" s="92">
        <v>377588.47999999998</v>
      </c>
      <c r="G146" s="96" t="s">
        <v>101</v>
      </c>
      <c r="H146" s="72" t="s">
        <v>123</v>
      </c>
      <c r="I146" s="91">
        <v>52</v>
      </c>
      <c r="J146" s="91" t="str">
        <f>LEFT(empreend_Fehidro[[#This Row],[suBpdc classifc]],1)</f>
        <v>5</v>
      </c>
      <c r="K146" s="140" t="str" cm="1">
        <f t="array" ref="K146">IF(empreend_Fehidro[[#This Row],[Devolvido?]] = "Não", _xlfn.XLOOKUP(empreend_Fehidro[[#This Row],[UGRHI]] &amp; empreend_Fehidro[[#This Row],[PDC class]], PAPI!A:A &amp; PAPI!B:B,PAPI!C:C, " PDC não prioritário no PAPI"), "n/a")</f>
        <v>Prioritário</v>
      </c>
      <c r="L146" s="289" t="s">
        <v>95</v>
      </c>
    </row>
    <row r="147" spans="1:12" s="141" customFormat="1">
      <c r="A147" s="142">
        <f>VLOOKUP(E147,Dim_Colegiado[],2,FALSE)</f>
        <v>13</v>
      </c>
      <c r="B147" s="143" t="str">
        <f t="shared" si="2"/>
        <v>2020</v>
      </c>
      <c r="C147" s="144" t="s">
        <v>280</v>
      </c>
      <c r="D147" s="91"/>
      <c r="E147" s="91" t="s">
        <v>273</v>
      </c>
      <c r="F147" s="88">
        <v>374400</v>
      </c>
      <c r="G147" s="96" t="s">
        <v>101</v>
      </c>
      <c r="H147" s="72" t="s">
        <v>123</v>
      </c>
      <c r="I147" s="91">
        <v>81</v>
      </c>
      <c r="J147" s="91" t="str">
        <f>LEFT(empreend_Fehidro[[#This Row],[suBpdc classifc]],1)</f>
        <v>8</v>
      </c>
      <c r="K147" s="140" t="str" cm="1">
        <f t="array" ref="K147">IF(empreend_Fehidro[[#This Row],[Devolvido?]] = "Não", _xlfn.XLOOKUP(empreend_Fehidro[[#This Row],[UGRHI]] &amp; empreend_Fehidro[[#This Row],[PDC class]], PAPI!A:A &amp; PAPI!B:B,PAPI!C:C, " PDC não prioritário no PAPI"), "n/a")</f>
        <v>Não prioritário</v>
      </c>
      <c r="L147" s="289" t="s">
        <v>96</v>
      </c>
    </row>
    <row r="148" spans="1:12" s="141" customFormat="1" ht="11.25" customHeight="1">
      <c r="A148" s="137">
        <f>VLOOKUP(E148,Dim_Colegiado[],2,FALSE)</f>
        <v>13</v>
      </c>
      <c r="B148" s="138" t="str">
        <f t="shared" si="2"/>
        <v>2020</v>
      </c>
      <c r="C148" s="139" t="s">
        <v>281</v>
      </c>
      <c r="D148" s="95"/>
      <c r="E148" s="95" t="s">
        <v>273</v>
      </c>
      <c r="F148" s="92">
        <v>293222.68</v>
      </c>
      <c r="G148" s="96" t="s">
        <v>101</v>
      </c>
      <c r="H148" s="72" t="s">
        <v>123</v>
      </c>
      <c r="I148" s="91">
        <v>51</v>
      </c>
      <c r="J148" s="91" t="str">
        <f>LEFT(empreend_Fehidro[[#This Row],[suBpdc classifc]],1)</f>
        <v>5</v>
      </c>
      <c r="K148" s="140" t="str" cm="1">
        <f t="array" ref="K148">IF(empreend_Fehidro[[#This Row],[Devolvido?]] = "Não", _xlfn.XLOOKUP(empreend_Fehidro[[#This Row],[UGRHI]] &amp; empreend_Fehidro[[#This Row],[PDC class]], PAPI!A:A &amp; PAPI!B:B,PAPI!C:C, " PDC não prioritário no PAPI"), "n/a")</f>
        <v>Prioritário</v>
      </c>
      <c r="L148" s="289" t="s">
        <v>95</v>
      </c>
    </row>
    <row r="149" spans="1:12" s="141" customFormat="1" ht="11.25" customHeight="1">
      <c r="A149" s="142">
        <f>VLOOKUP(E149,Dim_Colegiado[],2,FALSE)</f>
        <v>13</v>
      </c>
      <c r="B149" s="143" t="str">
        <f t="shared" si="2"/>
        <v>2020</v>
      </c>
      <c r="C149" s="144" t="s">
        <v>282</v>
      </c>
      <c r="D149" s="91"/>
      <c r="E149" s="91" t="s">
        <v>273</v>
      </c>
      <c r="F149" s="88">
        <v>286987.64</v>
      </c>
      <c r="G149" s="96" t="s">
        <v>101</v>
      </c>
      <c r="H149" s="72" t="s">
        <v>123</v>
      </c>
      <c r="I149" s="91">
        <v>51</v>
      </c>
      <c r="J149" s="91" t="str">
        <f>LEFT(empreend_Fehidro[[#This Row],[suBpdc classifc]],1)</f>
        <v>5</v>
      </c>
      <c r="K149" s="140" t="str" cm="1">
        <f t="array" ref="K149">IF(empreend_Fehidro[[#This Row],[Devolvido?]] = "Não", _xlfn.XLOOKUP(empreend_Fehidro[[#This Row],[UGRHI]] &amp; empreend_Fehidro[[#This Row],[PDC class]], PAPI!A:A &amp; PAPI!B:B,PAPI!C:C, " PDC não prioritário no PAPI"), "n/a")</f>
        <v>Prioritário</v>
      </c>
      <c r="L149" s="289" t="s">
        <v>95</v>
      </c>
    </row>
    <row r="150" spans="1:12" s="141" customFormat="1">
      <c r="A150" s="137">
        <f>VLOOKUP(E150,Dim_Colegiado[],2,FALSE)</f>
        <v>13</v>
      </c>
      <c r="B150" s="138" t="str">
        <f t="shared" si="2"/>
        <v>2020</v>
      </c>
      <c r="C150" s="139" t="s">
        <v>283</v>
      </c>
      <c r="D150" s="95"/>
      <c r="E150" s="95" t="s">
        <v>273</v>
      </c>
      <c r="F150" s="92">
        <v>249914.76</v>
      </c>
      <c r="G150" s="96" t="s">
        <v>101</v>
      </c>
      <c r="H150" s="72" t="s">
        <v>123</v>
      </c>
      <c r="I150" s="91">
        <v>82</v>
      </c>
      <c r="J150" s="91" t="str">
        <f>LEFT(empreend_Fehidro[[#This Row],[suBpdc classifc]],1)</f>
        <v>8</v>
      </c>
      <c r="K150" s="140" t="str" cm="1">
        <f t="array" ref="K150">IF(empreend_Fehidro[[#This Row],[Devolvido?]] = "Não", _xlfn.XLOOKUP(empreend_Fehidro[[#This Row],[UGRHI]] &amp; empreend_Fehidro[[#This Row],[PDC class]], PAPI!A:A &amp; PAPI!B:B,PAPI!C:C, " PDC não prioritário no PAPI"), "n/a")</f>
        <v>Não prioritário</v>
      </c>
      <c r="L150" s="289" t="s">
        <v>96</v>
      </c>
    </row>
    <row r="151" spans="1:12" s="141" customFormat="1" ht="11.25" customHeight="1">
      <c r="A151" s="142">
        <f>VLOOKUP(E151,Dim_Colegiado[],2,FALSE)</f>
        <v>13</v>
      </c>
      <c r="B151" s="143" t="str">
        <f t="shared" si="2"/>
        <v>2020</v>
      </c>
      <c r="C151" s="144" t="s">
        <v>284</v>
      </c>
      <c r="D151" s="91"/>
      <c r="E151" s="91" t="s">
        <v>273</v>
      </c>
      <c r="F151" s="88">
        <v>194029.98</v>
      </c>
      <c r="G151" s="96" t="s">
        <v>101</v>
      </c>
      <c r="H151" s="72" t="s">
        <v>123</v>
      </c>
      <c r="I151" s="91">
        <v>34</v>
      </c>
      <c r="J151" s="91" t="str">
        <f>LEFT(empreend_Fehidro[[#This Row],[suBpdc classifc]],1)</f>
        <v>3</v>
      </c>
      <c r="K151" s="140" t="str" cm="1">
        <f t="array" ref="K151">IF(empreend_Fehidro[[#This Row],[Devolvido?]] = "Não", _xlfn.XLOOKUP(empreend_Fehidro[[#This Row],[UGRHI]] &amp; empreend_Fehidro[[#This Row],[PDC class]], PAPI!A:A &amp; PAPI!B:B,PAPI!C:C, " PDC não prioritário no PAPI"), "n/a")</f>
        <v>Prioritário</v>
      </c>
      <c r="L151" s="289" t="s">
        <v>95</v>
      </c>
    </row>
    <row r="152" spans="1:12" s="141" customFormat="1">
      <c r="A152" s="137">
        <f>VLOOKUP(E152,Dim_Colegiado[],2,FALSE)</f>
        <v>13</v>
      </c>
      <c r="B152" s="138" t="str">
        <f t="shared" si="2"/>
        <v>2020</v>
      </c>
      <c r="C152" s="139" t="s">
        <v>285</v>
      </c>
      <c r="D152" s="95"/>
      <c r="E152" s="95" t="s">
        <v>273</v>
      </c>
      <c r="F152" s="92">
        <v>185484.4</v>
      </c>
      <c r="G152" s="96" t="s">
        <v>101</v>
      </c>
      <c r="H152" s="72" t="s">
        <v>123</v>
      </c>
      <c r="I152" s="91">
        <v>31</v>
      </c>
      <c r="J152" s="91" t="str">
        <f>LEFT(empreend_Fehidro[[#This Row],[suBpdc classifc]],1)</f>
        <v>3</v>
      </c>
      <c r="K152" s="140" t="str" cm="1">
        <f t="array" ref="K152">IF(empreend_Fehidro[[#This Row],[Devolvido?]] = "Não", _xlfn.XLOOKUP(empreend_Fehidro[[#This Row],[UGRHI]] &amp; empreend_Fehidro[[#This Row],[PDC class]], PAPI!A:A &amp; PAPI!B:B,PAPI!C:C, " PDC não prioritário no PAPI"), "n/a")</f>
        <v>Prioritário</v>
      </c>
      <c r="L152" s="289" t="s">
        <v>95</v>
      </c>
    </row>
    <row r="153" spans="1:12" s="141" customFormat="1" ht="11.25" customHeight="1">
      <c r="A153" s="142">
        <f>VLOOKUP(E153,Dim_Colegiado[],2,FALSE)</f>
        <v>13</v>
      </c>
      <c r="B153" s="143" t="str">
        <f t="shared" si="2"/>
        <v>2020</v>
      </c>
      <c r="C153" s="144" t="s">
        <v>286</v>
      </c>
      <c r="D153" s="91"/>
      <c r="E153" s="91" t="s">
        <v>273</v>
      </c>
      <c r="F153" s="88">
        <v>156870.16</v>
      </c>
      <c r="G153" s="96" t="s">
        <v>101</v>
      </c>
      <c r="H153" s="72" t="s">
        <v>123</v>
      </c>
      <c r="I153" s="91">
        <v>34</v>
      </c>
      <c r="J153" s="91" t="str">
        <f>LEFT(empreend_Fehidro[[#This Row],[suBpdc classifc]],1)</f>
        <v>3</v>
      </c>
      <c r="K153" s="140" t="str" cm="1">
        <f t="array" ref="K153">IF(empreend_Fehidro[[#This Row],[Devolvido?]] = "Não", _xlfn.XLOOKUP(empreend_Fehidro[[#This Row],[UGRHI]] &amp; empreend_Fehidro[[#This Row],[PDC class]], PAPI!A:A &amp; PAPI!B:B,PAPI!C:C, " PDC não prioritário no PAPI"), "n/a")</f>
        <v>Prioritário</v>
      </c>
      <c r="L153" s="289" t="s">
        <v>95</v>
      </c>
    </row>
    <row r="154" spans="1:12" s="141" customFormat="1">
      <c r="A154" s="137">
        <f>VLOOKUP(E154,Dim_Colegiado[],2,FALSE)</f>
        <v>13</v>
      </c>
      <c r="B154" s="138" t="str">
        <f t="shared" si="2"/>
        <v>2020</v>
      </c>
      <c r="C154" s="139" t="s">
        <v>287</v>
      </c>
      <c r="D154" s="95"/>
      <c r="E154" s="95" t="s">
        <v>273</v>
      </c>
      <c r="F154" s="92">
        <v>150184.78</v>
      </c>
      <c r="G154" s="96" t="s">
        <v>101</v>
      </c>
      <c r="H154" s="72" t="s">
        <v>123</v>
      </c>
      <c r="I154" s="91">
        <v>82</v>
      </c>
      <c r="J154" s="91" t="str">
        <f>LEFT(empreend_Fehidro[[#This Row],[suBpdc classifc]],1)</f>
        <v>8</v>
      </c>
      <c r="K154" s="140" t="str" cm="1">
        <f t="array" ref="K154">IF(empreend_Fehidro[[#This Row],[Devolvido?]] = "Não", _xlfn.XLOOKUP(empreend_Fehidro[[#This Row],[UGRHI]] &amp; empreend_Fehidro[[#This Row],[PDC class]], PAPI!A:A &amp; PAPI!B:B,PAPI!C:C, " PDC não prioritário no PAPI"), "n/a")</f>
        <v>Não prioritário</v>
      </c>
      <c r="L154" s="289" t="s">
        <v>96</v>
      </c>
    </row>
    <row r="155" spans="1:12" s="141" customFormat="1">
      <c r="A155" s="142">
        <f>VLOOKUP(E155,Dim_Colegiado[],2,FALSE)</f>
        <v>13</v>
      </c>
      <c r="B155" s="143" t="str">
        <f t="shared" si="2"/>
        <v>2020</v>
      </c>
      <c r="C155" s="144" t="s">
        <v>288</v>
      </c>
      <c r="D155" s="91"/>
      <c r="E155" s="91" t="s">
        <v>273</v>
      </c>
      <c r="F155" s="88">
        <v>150036.37</v>
      </c>
      <c r="G155" s="96" t="s">
        <v>101</v>
      </c>
      <c r="H155" s="72" t="s">
        <v>123</v>
      </c>
      <c r="I155" s="91">
        <v>51</v>
      </c>
      <c r="J155" s="91" t="str">
        <f>LEFT(empreend_Fehidro[[#This Row],[suBpdc classifc]],1)</f>
        <v>5</v>
      </c>
      <c r="K155" s="140" t="str" cm="1">
        <f t="array" ref="K155">IF(empreend_Fehidro[[#This Row],[Devolvido?]] = "Não", _xlfn.XLOOKUP(empreend_Fehidro[[#This Row],[UGRHI]] &amp; empreend_Fehidro[[#This Row],[PDC class]], PAPI!A:A &amp; PAPI!B:B,PAPI!C:C, " PDC não prioritário no PAPI"), "n/a")</f>
        <v>Prioritário</v>
      </c>
      <c r="L155" s="289" t="s">
        <v>95</v>
      </c>
    </row>
    <row r="156" spans="1:12" s="141" customFormat="1">
      <c r="A156" s="142">
        <f>VLOOKUP(E156,Dim_Colegiado[],2,FALSE)</f>
        <v>14</v>
      </c>
      <c r="B156" s="143" t="str">
        <f t="shared" si="2"/>
        <v>2020</v>
      </c>
      <c r="C156" s="144" t="s">
        <v>289</v>
      </c>
      <c r="D156" s="91"/>
      <c r="E156" s="91" t="s">
        <v>290</v>
      </c>
      <c r="F156" s="88">
        <v>318631.83</v>
      </c>
      <c r="G156" s="96" t="s">
        <v>101</v>
      </c>
      <c r="H156" s="72" t="s">
        <v>123</v>
      </c>
      <c r="I156" s="91">
        <v>31</v>
      </c>
      <c r="J156" s="91" t="str">
        <f>LEFT(empreend_Fehidro[[#This Row],[suBpdc classifc]],1)</f>
        <v>3</v>
      </c>
      <c r="K156" s="140" t="str" cm="1">
        <f t="array" ref="K156">IF(empreend_Fehidro[[#This Row],[Devolvido?]] = "Não", _xlfn.XLOOKUP(empreend_Fehidro[[#This Row],[UGRHI]] &amp; empreend_Fehidro[[#This Row],[PDC class]], PAPI!A:A &amp; PAPI!B:B,PAPI!C:C, " PDC não prioritário no PAPI"), "n/a")</f>
        <v>Prioritário</v>
      </c>
      <c r="L156" s="289" t="s">
        <v>95</v>
      </c>
    </row>
    <row r="157" spans="1:12" s="141" customFormat="1">
      <c r="A157" s="137">
        <f>VLOOKUP(E157,Dim_Colegiado[],2,FALSE)</f>
        <v>14</v>
      </c>
      <c r="B157" s="138" t="str">
        <f t="shared" si="2"/>
        <v>2020</v>
      </c>
      <c r="C157" s="139" t="s">
        <v>291</v>
      </c>
      <c r="D157" s="95"/>
      <c r="E157" s="95" t="s">
        <v>290</v>
      </c>
      <c r="F157" s="92">
        <v>258851.58</v>
      </c>
      <c r="G157" s="96" t="s">
        <v>101</v>
      </c>
      <c r="H157" s="72" t="s">
        <v>123</v>
      </c>
      <c r="I157" s="91">
        <v>72</v>
      </c>
      <c r="J157" s="91" t="str">
        <f>LEFT(empreend_Fehidro[[#This Row],[suBpdc classifc]],1)</f>
        <v>7</v>
      </c>
      <c r="K157" s="140" t="str" cm="1">
        <f t="array" ref="K157">IF(empreend_Fehidro[[#This Row],[Devolvido?]] = "Não", _xlfn.XLOOKUP(empreend_Fehidro[[#This Row],[UGRHI]] &amp; empreend_Fehidro[[#This Row],[PDC class]], PAPI!A:A &amp; PAPI!B:B,PAPI!C:C, " PDC não prioritário no PAPI"), "n/a")</f>
        <v>Prioritário</v>
      </c>
      <c r="L157" s="289" t="s">
        <v>95</v>
      </c>
    </row>
    <row r="158" spans="1:12" s="141" customFormat="1">
      <c r="A158" s="142">
        <f>VLOOKUP(E158,Dim_Colegiado[],2,FALSE)</f>
        <v>14</v>
      </c>
      <c r="B158" s="143" t="str">
        <f t="shared" si="2"/>
        <v>2020</v>
      </c>
      <c r="C158" s="144" t="s">
        <v>292</v>
      </c>
      <c r="D158" s="91"/>
      <c r="E158" s="91" t="s">
        <v>290</v>
      </c>
      <c r="F158" s="88">
        <v>200556.05</v>
      </c>
      <c r="G158" s="96" t="s">
        <v>101</v>
      </c>
      <c r="H158" s="72" t="s">
        <v>123</v>
      </c>
      <c r="I158" s="91">
        <v>14</v>
      </c>
      <c r="J158" s="91" t="str">
        <f>LEFT(empreend_Fehidro[[#This Row],[suBpdc classifc]],1)</f>
        <v>1</v>
      </c>
      <c r="K158" s="140" t="str" cm="1">
        <f t="array" ref="K158">IF(empreend_Fehidro[[#This Row],[Devolvido?]] = "Não", _xlfn.XLOOKUP(empreend_Fehidro[[#This Row],[UGRHI]] &amp; empreend_Fehidro[[#This Row],[PDC class]], PAPI!A:A &amp; PAPI!B:B,PAPI!C:C, " PDC não prioritário no PAPI"), "n/a")</f>
        <v>PDC 1 e 2</v>
      </c>
      <c r="L158" s="289" t="s">
        <v>95</v>
      </c>
    </row>
    <row r="159" spans="1:12">
      <c r="A159" s="137">
        <f>VLOOKUP(E159,Dim_Colegiado[],2,FALSE)</f>
        <v>14</v>
      </c>
      <c r="B159" s="138" t="str">
        <f t="shared" si="2"/>
        <v>2020</v>
      </c>
      <c r="C159" s="139" t="s">
        <v>293</v>
      </c>
      <c r="D159" s="95"/>
      <c r="E159" s="95" t="s">
        <v>290</v>
      </c>
      <c r="F159" s="92">
        <v>193473.44</v>
      </c>
      <c r="G159" s="96" t="s">
        <v>101</v>
      </c>
      <c r="H159" s="72" t="s">
        <v>123</v>
      </c>
      <c r="I159" s="91">
        <v>72</v>
      </c>
      <c r="J159" s="91" t="str">
        <f>LEFT(empreend_Fehidro[[#This Row],[suBpdc classifc]],1)</f>
        <v>7</v>
      </c>
      <c r="K159" s="140" t="str" cm="1">
        <f t="array" ref="K159">IF(empreend_Fehidro[[#This Row],[Devolvido?]] = "Não", _xlfn.XLOOKUP(empreend_Fehidro[[#This Row],[UGRHI]] &amp; empreend_Fehidro[[#This Row],[PDC class]], PAPI!A:A &amp; PAPI!B:B,PAPI!C:C, " PDC não prioritário no PAPI"), "n/a")</f>
        <v>Prioritário</v>
      </c>
      <c r="L159" s="289" t="s">
        <v>95</v>
      </c>
    </row>
    <row r="160" spans="1:12">
      <c r="A160" s="137">
        <f>VLOOKUP(E160,Dim_Colegiado[],2,FALSE)</f>
        <v>15</v>
      </c>
      <c r="B160" s="138" t="str">
        <f t="shared" si="2"/>
        <v>2020</v>
      </c>
      <c r="C160" s="139" t="s">
        <v>294</v>
      </c>
      <c r="D160" s="95"/>
      <c r="E160" s="95" t="s">
        <v>295</v>
      </c>
      <c r="F160" s="92">
        <v>650000</v>
      </c>
      <c r="G160" s="96" t="s">
        <v>101</v>
      </c>
      <c r="H160" s="72" t="s">
        <v>123</v>
      </c>
      <c r="I160" s="91">
        <v>33</v>
      </c>
      <c r="J160" s="91" t="str">
        <f>LEFT(empreend_Fehidro[[#This Row],[suBpdc classifc]],1)</f>
        <v>3</v>
      </c>
      <c r="K160" s="140" t="str" cm="1">
        <f t="array" ref="K160">IF(empreend_Fehidro[[#This Row],[Devolvido?]] = "Não", _xlfn.XLOOKUP(empreend_Fehidro[[#This Row],[UGRHI]] &amp; empreend_Fehidro[[#This Row],[PDC class]], PAPI!A:A &amp; PAPI!B:B,PAPI!C:C, " PDC não prioritário no PAPI"), "n/a")</f>
        <v>Prioritário</v>
      </c>
      <c r="L160" s="289" t="s">
        <v>95</v>
      </c>
    </row>
    <row r="161" spans="1:12">
      <c r="A161" s="142">
        <f>VLOOKUP(E161,Dim_Colegiado[],2,FALSE)</f>
        <v>15</v>
      </c>
      <c r="B161" s="143" t="str">
        <f t="shared" si="2"/>
        <v>2020</v>
      </c>
      <c r="C161" s="144" t="s">
        <v>296</v>
      </c>
      <c r="D161" s="91"/>
      <c r="E161" s="91" t="s">
        <v>295</v>
      </c>
      <c r="F161" s="88">
        <v>219632.63</v>
      </c>
      <c r="G161" s="96" t="s">
        <v>101</v>
      </c>
      <c r="H161" s="72" t="s">
        <v>123</v>
      </c>
      <c r="I161" s="91">
        <v>31</v>
      </c>
      <c r="J161" s="91" t="str">
        <f>LEFT(empreend_Fehidro[[#This Row],[suBpdc classifc]],1)</f>
        <v>3</v>
      </c>
      <c r="K161" s="140" t="str" cm="1">
        <f t="array" ref="K161">IF(empreend_Fehidro[[#This Row],[Devolvido?]] = "Não", _xlfn.XLOOKUP(empreend_Fehidro[[#This Row],[UGRHI]] &amp; empreend_Fehidro[[#This Row],[PDC class]], PAPI!A:A &amp; PAPI!B:B,PAPI!C:C, " PDC não prioritário no PAPI"), "n/a")</f>
        <v>Prioritário</v>
      </c>
      <c r="L161" s="289" t="s">
        <v>95</v>
      </c>
    </row>
    <row r="162" spans="1:12">
      <c r="A162" s="137">
        <f>VLOOKUP(E162,Dim_Colegiado[],2,FALSE)</f>
        <v>15</v>
      </c>
      <c r="B162" s="138" t="str">
        <f t="shared" si="2"/>
        <v>2020</v>
      </c>
      <c r="C162" s="139" t="s">
        <v>297</v>
      </c>
      <c r="D162" s="95"/>
      <c r="E162" s="95" t="s">
        <v>295</v>
      </c>
      <c r="F162" s="92">
        <v>216507.58</v>
      </c>
      <c r="G162" s="96" t="s">
        <v>101</v>
      </c>
      <c r="H162" s="72" t="s">
        <v>123</v>
      </c>
      <c r="I162" s="91">
        <v>33</v>
      </c>
      <c r="J162" s="91" t="str">
        <f>LEFT(empreend_Fehidro[[#This Row],[suBpdc classifc]],1)</f>
        <v>3</v>
      </c>
      <c r="K162" s="140" t="str" cm="1">
        <f t="array" ref="K162">IF(empreend_Fehidro[[#This Row],[Devolvido?]] = "Não", _xlfn.XLOOKUP(empreend_Fehidro[[#This Row],[UGRHI]] &amp; empreend_Fehidro[[#This Row],[PDC class]], PAPI!A:A &amp; PAPI!B:B,PAPI!C:C, " PDC não prioritário no PAPI"), "n/a")</f>
        <v>Prioritário</v>
      </c>
      <c r="L162" s="289" t="s">
        <v>95</v>
      </c>
    </row>
    <row r="163" spans="1:12">
      <c r="A163" s="137">
        <f>VLOOKUP(E163,Dim_Colegiado[],2,FALSE)</f>
        <v>16</v>
      </c>
      <c r="B163" s="138" t="str">
        <f t="shared" si="2"/>
        <v>2020</v>
      </c>
      <c r="C163" s="139" t="s">
        <v>298</v>
      </c>
      <c r="D163" s="95"/>
      <c r="E163" s="95" t="s">
        <v>299</v>
      </c>
      <c r="F163" s="92">
        <v>1057311.18</v>
      </c>
      <c r="G163" s="96" t="s">
        <v>101</v>
      </c>
      <c r="H163" s="72" t="s">
        <v>123</v>
      </c>
      <c r="I163" s="91">
        <v>31</v>
      </c>
      <c r="J163" s="91" t="str">
        <f>LEFT(empreend_Fehidro[[#This Row],[suBpdc classifc]],1)</f>
        <v>3</v>
      </c>
      <c r="K163" s="140" t="str" cm="1">
        <f t="array" ref="K163">IF(empreend_Fehidro[[#This Row],[Devolvido?]] = "Não", _xlfn.XLOOKUP(empreend_Fehidro[[#This Row],[UGRHI]] &amp; empreend_Fehidro[[#This Row],[PDC class]], PAPI!A:A &amp; PAPI!B:B,PAPI!C:C, " PDC não prioritário no PAPI"), "n/a")</f>
        <v>Prioritário</v>
      </c>
      <c r="L163" s="289" t="s">
        <v>95</v>
      </c>
    </row>
    <row r="164" spans="1:12">
      <c r="A164" s="142">
        <f>VLOOKUP(E164,Dim_Colegiado[],2,FALSE)</f>
        <v>16</v>
      </c>
      <c r="B164" s="143" t="str">
        <f t="shared" si="2"/>
        <v>2020</v>
      </c>
      <c r="C164" s="144" t="s">
        <v>300</v>
      </c>
      <c r="D164" s="91"/>
      <c r="E164" s="91" t="s">
        <v>299</v>
      </c>
      <c r="F164" s="88">
        <v>968566.44</v>
      </c>
      <c r="G164" s="96" t="s">
        <v>101</v>
      </c>
      <c r="H164" s="72" t="s">
        <v>123</v>
      </c>
      <c r="I164" s="91">
        <v>31</v>
      </c>
      <c r="J164" s="91" t="str">
        <f>LEFT(empreend_Fehidro[[#This Row],[suBpdc classifc]],1)</f>
        <v>3</v>
      </c>
      <c r="K164" s="140" t="str" cm="1">
        <f t="array" ref="K164">IF(empreend_Fehidro[[#This Row],[Devolvido?]] = "Não", _xlfn.XLOOKUP(empreend_Fehidro[[#This Row],[UGRHI]] &amp; empreend_Fehidro[[#This Row],[PDC class]], PAPI!A:A &amp; PAPI!B:B,PAPI!C:C, " PDC não prioritário no PAPI"), "n/a")</f>
        <v>Prioritário</v>
      </c>
      <c r="L164" s="289" t="s">
        <v>95</v>
      </c>
    </row>
    <row r="165" spans="1:12">
      <c r="A165" s="137">
        <f>VLOOKUP(E165,Dim_Colegiado[],2,FALSE)</f>
        <v>16</v>
      </c>
      <c r="B165" s="138" t="str">
        <f t="shared" si="2"/>
        <v>2020</v>
      </c>
      <c r="C165" s="139" t="s">
        <v>301</v>
      </c>
      <c r="D165" s="95"/>
      <c r="E165" s="95" t="s">
        <v>299</v>
      </c>
      <c r="F165" s="92">
        <v>416282</v>
      </c>
      <c r="G165" s="96" t="s">
        <v>101</v>
      </c>
      <c r="H165" s="72" t="s">
        <v>123</v>
      </c>
      <c r="I165" s="91">
        <v>32</v>
      </c>
      <c r="J165" s="91" t="str">
        <f>LEFT(empreend_Fehidro[[#This Row],[suBpdc classifc]],1)</f>
        <v>3</v>
      </c>
      <c r="K165" s="140" t="str" cm="1">
        <f t="array" ref="K165">IF(empreend_Fehidro[[#This Row],[Devolvido?]] = "Não", _xlfn.XLOOKUP(empreend_Fehidro[[#This Row],[UGRHI]] &amp; empreend_Fehidro[[#This Row],[PDC class]], PAPI!A:A &amp; PAPI!B:B,PAPI!C:C, " PDC não prioritário no PAPI"), "n/a")</f>
        <v>Prioritário</v>
      </c>
      <c r="L165" s="289" t="s">
        <v>95</v>
      </c>
    </row>
    <row r="166" spans="1:12">
      <c r="A166" s="142">
        <f>VLOOKUP(E166,Dim_Colegiado[],2,FALSE)</f>
        <v>16</v>
      </c>
      <c r="B166" s="143" t="str">
        <f t="shared" si="2"/>
        <v>2020</v>
      </c>
      <c r="C166" s="144" t="s">
        <v>302</v>
      </c>
      <c r="D166" s="91"/>
      <c r="E166" s="91" t="s">
        <v>299</v>
      </c>
      <c r="F166" s="88">
        <v>400000</v>
      </c>
      <c r="G166" s="96" t="s">
        <v>101</v>
      </c>
      <c r="H166" s="72" t="s">
        <v>123</v>
      </c>
      <c r="I166" s="91">
        <v>72</v>
      </c>
      <c r="J166" s="91" t="str">
        <f>LEFT(empreend_Fehidro[[#This Row],[suBpdc classifc]],1)</f>
        <v>7</v>
      </c>
      <c r="K166" s="140" t="str" cm="1">
        <f t="array" ref="K166">IF(empreend_Fehidro[[#This Row],[Devolvido?]] = "Não", _xlfn.XLOOKUP(empreend_Fehidro[[#This Row],[UGRHI]] &amp; empreend_Fehidro[[#This Row],[PDC class]], PAPI!A:A &amp; PAPI!B:B,PAPI!C:C, " PDC não prioritário no PAPI"), "n/a")</f>
        <v>Não prioritário</v>
      </c>
      <c r="L166" s="289" t="s">
        <v>95</v>
      </c>
    </row>
    <row r="167" spans="1:12">
      <c r="A167" s="137">
        <f>VLOOKUP(E167,Dim_Colegiado[],2,FALSE)</f>
        <v>16</v>
      </c>
      <c r="B167" s="138" t="str">
        <f t="shared" si="2"/>
        <v>2020</v>
      </c>
      <c r="C167" s="139" t="s">
        <v>303</v>
      </c>
      <c r="D167" s="95"/>
      <c r="E167" s="95" t="s">
        <v>299</v>
      </c>
      <c r="F167" s="92">
        <v>316113.89</v>
      </c>
      <c r="G167" s="96" t="s">
        <v>101</v>
      </c>
      <c r="H167" s="72" t="s">
        <v>123</v>
      </c>
      <c r="I167" s="91">
        <v>33</v>
      </c>
      <c r="J167" s="91" t="str">
        <f>LEFT(empreend_Fehidro[[#This Row],[suBpdc classifc]],1)</f>
        <v>3</v>
      </c>
      <c r="K167" s="140" t="str" cm="1">
        <f t="array" ref="K167">IF(empreend_Fehidro[[#This Row],[Devolvido?]] = "Não", _xlfn.XLOOKUP(empreend_Fehidro[[#This Row],[UGRHI]] &amp; empreend_Fehidro[[#This Row],[PDC class]], PAPI!A:A &amp; PAPI!B:B,PAPI!C:C, " PDC não prioritário no PAPI"), "n/a")</f>
        <v>Prioritário</v>
      </c>
      <c r="L167" s="289" t="s">
        <v>95</v>
      </c>
    </row>
    <row r="168" spans="1:12">
      <c r="A168" s="142">
        <f>VLOOKUP(E168,Dim_Colegiado[],2,FALSE)</f>
        <v>16</v>
      </c>
      <c r="B168" s="143" t="str">
        <f t="shared" si="2"/>
        <v>2020</v>
      </c>
      <c r="C168" s="144" t="s">
        <v>304</v>
      </c>
      <c r="D168" s="91"/>
      <c r="E168" s="91" t="s">
        <v>299</v>
      </c>
      <c r="F168" s="88">
        <v>261236.94</v>
      </c>
      <c r="G168" s="96" t="s">
        <v>101</v>
      </c>
      <c r="H168" s="72" t="s">
        <v>123</v>
      </c>
      <c r="I168" s="91">
        <v>31</v>
      </c>
      <c r="J168" s="91" t="str">
        <f>LEFT(empreend_Fehidro[[#This Row],[suBpdc classifc]],1)</f>
        <v>3</v>
      </c>
      <c r="K168" s="140" t="str" cm="1">
        <f t="array" ref="K168">IF(empreend_Fehidro[[#This Row],[Devolvido?]] = "Não", _xlfn.XLOOKUP(empreend_Fehidro[[#This Row],[UGRHI]] &amp; empreend_Fehidro[[#This Row],[PDC class]], PAPI!A:A &amp; PAPI!B:B,PAPI!C:C, " PDC não prioritário no PAPI"), "n/a")</f>
        <v>Prioritário</v>
      </c>
      <c r="L168" s="289" t="s">
        <v>95</v>
      </c>
    </row>
    <row r="169" spans="1:12">
      <c r="A169" s="137">
        <f>VLOOKUP(E169,Dim_Colegiado[],2,FALSE)</f>
        <v>16</v>
      </c>
      <c r="B169" s="138" t="str">
        <f t="shared" si="2"/>
        <v>2020</v>
      </c>
      <c r="C169" s="139" t="s">
        <v>305</v>
      </c>
      <c r="D169" s="95"/>
      <c r="E169" s="95" t="s">
        <v>299</v>
      </c>
      <c r="F169" s="92">
        <v>253429.5</v>
      </c>
      <c r="G169" s="96" t="s">
        <v>101</v>
      </c>
      <c r="H169" s="72" t="s">
        <v>123</v>
      </c>
      <c r="I169" s="91">
        <v>42</v>
      </c>
      <c r="J169" s="91" t="str">
        <f>LEFT(empreend_Fehidro[[#This Row],[suBpdc classifc]],1)</f>
        <v>4</v>
      </c>
      <c r="K169" s="140" t="str" cm="1">
        <f t="array" ref="K169">IF(empreend_Fehidro[[#This Row],[Devolvido?]] = "Não", _xlfn.XLOOKUP(empreend_Fehidro[[#This Row],[UGRHI]] &amp; empreend_Fehidro[[#This Row],[PDC class]], PAPI!A:A &amp; PAPI!B:B,PAPI!C:C, " PDC não prioritário no PAPI"), "n/a")</f>
        <v>Prioritário</v>
      </c>
      <c r="L169" s="289" t="s">
        <v>95</v>
      </c>
    </row>
    <row r="170" spans="1:12">
      <c r="A170" s="142">
        <f>VLOOKUP(E170,Dim_Colegiado[],2,FALSE)</f>
        <v>16</v>
      </c>
      <c r="B170" s="143" t="str">
        <f t="shared" si="2"/>
        <v>2020</v>
      </c>
      <c r="C170" s="144" t="s">
        <v>306</v>
      </c>
      <c r="D170" s="91"/>
      <c r="E170" s="91" t="s">
        <v>299</v>
      </c>
      <c r="F170" s="88">
        <v>170281.72</v>
      </c>
      <c r="G170" s="96" t="s">
        <v>101</v>
      </c>
      <c r="H170" s="72" t="s">
        <v>123</v>
      </c>
      <c r="I170" s="91">
        <v>12</v>
      </c>
      <c r="J170" s="91" t="str">
        <f>LEFT(empreend_Fehidro[[#This Row],[suBpdc classifc]],1)</f>
        <v>1</v>
      </c>
      <c r="K170" s="140" t="str" cm="1">
        <f t="array" ref="K170">IF(empreend_Fehidro[[#This Row],[Devolvido?]] = "Não", _xlfn.XLOOKUP(empreend_Fehidro[[#This Row],[UGRHI]] &amp; empreend_Fehidro[[#This Row],[PDC class]], PAPI!A:A &amp; PAPI!B:B,PAPI!C:C, " PDC não prioritário no PAPI"), "n/a")</f>
        <v>PDC 1 e 2</v>
      </c>
      <c r="L170" s="289" t="s">
        <v>96</v>
      </c>
    </row>
    <row r="171" spans="1:12">
      <c r="A171" s="137">
        <f>VLOOKUP(E171,Dim_Colegiado[],2,FALSE)</f>
        <v>16</v>
      </c>
      <c r="B171" s="138" t="str">
        <f t="shared" si="2"/>
        <v>2020</v>
      </c>
      <c r="C171" s="139" t="s">
        <v>307</v>
      </c>
      <c r="D171" s="95"/>
      <c r="E171" s="95" t="s">
        <v>299</v>
      </c>
      <c r="F171" s="92">
        <v>159502.79999999999</v>
      </c>
      <c r="G171" s="96" t="s">
        <v>101</v>
      </c>
      <c r="H171" s="72" t="s">
        <v>123</v>
      </c>
      <c r="I171" s="91">
        <v>12</v>
      </c>
      <c r="J171" s="91" t="str">
        <f>LEFT(empreend_Fehidro[[#This Row],[suBpdc classifc]],1)</f>
        <v>1</v>
      </c>
      <c r="K171" s="140" t="str" cm="1">
        <f t="array" ref="K171">IF(empreend_Fehidro[[#This Row],[Devolvido?]] = "Não", _xlfn.XLOOKUP(empreend_Fehidro[[#This Row],[UGRHI]] &amp; empreend_Fehidro[[#This Row],[PDC class]], PAPI!A:A &amp; PAPI!B:B,PAPI!C:C, " PDC não prioritário no PAPI"), "n/a")</f>
        <v>PDC 1 e 2</v>
      </c>
      <c r="L171" s="289" t="s">
        <v>96</v>
      </c>
    </row>
    <row r="172" spans="1:12">
      <c r="A172" s="142">
        <f>VLOOKUP(E172,Dim_Colegiado[],2,FALSE)</f>
        <v>16</v>
      </c>
      <c r="B172" s="143" t="str">
        <f t="shared" si="2"/>
        <v>2020</v>
      </c>
      <c r="C172" s="144" t="s">
        <v>308</v>
      </c>
      <c r="D172" s="91"/>
      <c r="E172" s="91" t="s">
        <v>299</v>
      </c>
      <c r="F172" s="88">
        <v>150176.43</v>
      </c>
      <c r="G172" s="96" t="s">
        <v>101</v>
      </c>
      <c r="H172" s="72" t="s">
        <v>123</v>
      </c>
      <c r="I172" s="91">
        <v>31</v>
      </c>
      <c r="J172" s="91" t="str">
        <f>LEFT(empreend_Fehidro[[#This Row],[suBpdc classifc]],1)</f>
        <v>3</v>
      </c>
      <c r="K172" s="140" t="str" cm="1">
        <f t="array" ref="K172">IF(empreend_Fehidro[[#This Row],[Devolvido?]] = "Não", _xlfn.XLOOKUP(empreend_Fehidro[[#This Row],[UGRHI]] &amp; empreend_Fehidro[[#This Row],[PDC class]], PAPI!A:A &amp; PAPI!B:B,PAPI!C:C, " PDC não prioritário no PAPI"), "n/a")</f>
        <v>Prioritário</v>
      </c>
      <c r="L172" s="289" t="s">
        <v>95</v>
      </c>
    </row>
    <row r="173" spans="1:12">
      <c r="A173" s="137">
        <f>VLOOKUP(E173,Dim_Colegiado[],2,FALSE)</f>
        <v>17</v>
      </c>
      <c r="B173" s="138" t="str">
        <f t="shared" si="2"/>
        <v>2020</v>
      </c>
      <c r="C173" s="139" t="s">
        <v>309</v>
      </c>
      <c r="D173" s="95"/>
      <c r="E173" s="95" t="s">
        <v>310</v>
      </c>
      <c r="F173" s="92">
        <v>458548.43</v>
      </c>
      <c r="G173" s="96" t="s">
        <v>101</v>
      </c>
      <c r="H173" s="72" t="s">
        <v>123</v>
      </c>
      <c r="I173" s="91">
        <v>34</v>
      </c>
      <c r="J173" s="91" t="str">
        <f>LEFT(empreend_Fehidro[[#This Row],[suBpdc classifc]],1)</f>
        <v>3</v>
      </c>
      <c r="K173" s="140" t="str" cm="1">
        <f t="array" ref="K173">IF(empreend_Fehidro[[#This Row],[Devolvido?]] = "Não", _xlfn.XLOOKUP(empreend_Fehidro[[#This Row],[UGRHI]] &amp; empreend_Fehidro[[#This Row],[PDC class]], PAPI!A:A &amp; PAPI!B:B,PAPI!C:C, " PDC não prioritário no PAPI"), "n/a")</f>
        <v>Prioritário</v>
      </c>
      <c r="L173" s="289" t="s">
        <v>95</v>
      </c>
    </row>
    <row r="174" spans="1:12">
      <c r="A174" s="142">
        <f>VLOOKUP(E174,Dim_Colegiado[],2,FALSE)</f>
        <v>17</v>
      </c>
      <c r="B174" s="143" t="str">
        <f t="shared" si="2"/>
        <v>2020</v>
      </c>
      <c r="C174" s="144" t="s">
        <v>311</v>
      </c>
      <c r="D174" s="91"/>
      <c r="E174" s="91" t="s">
        <v>310</v>
      </c>
      <c r="F174" s="88">
        <v>395164.11</v>
      </c>
      <c r="G174" s="96" t="s">
        <v>101</v>
      </c>
      <c r="H174" s="72" t="s">
        <v>123</v>
      </c>
      <c r="I174" s="91">
        <v>34</v>
      </c>
      <c r="J174" s="91" t="str">
        <f>LEFT(empreend_Fehidro[[#This Row],[suBpdc classifc]],1)</f>
        <v>3</v>
      </c>
      <c r="K174" s="140" t="str" cm="1">
        <f t="array" ref="K174">IF(empreend_Fehidro[[#This Row],[Devolvido?]] = "Não", _xlfn.XLOOKUP(empreend_Fehidro[[#This Row],[UGRHI]] &amp; empreend_Fehidro[[#This Row],[PDC class]], PAPI!A:A &amp; PAPI!B:B,PAPI!C:C, " PDC não prioritário no PAPI"), "n/a")</f>
        <v>Prioritário</v>
      </c>
      <c r="L174" s="289" t="s">
        <v>95</v>
      </c>
    </row>
    <row r="175" spans="1:12">
      <c r="A175" s="137">
        <f>VLOOKUP(E175,Dim_Colegiado[],2,FALSE)</f>
        <v>17</v>
      </c>
      <c r="B175" s="138" t="str">
        <f t="shared" si="2"/>
        <v>2020</v>
      </c>
      <c r="C175" s="139" t="s">
        <v>312</v>
      </c>
      <c r="D175" s="95"/>
      <c r="E175" s="95" t="s">
        <v>310</v>
      </c>
      <c r="F175" s="92">
        <v>381982.08</v>
      </c>
      <c r="G175" s="96" t="s">
        <v>101</v>
      </c>
      <c r="H175" s="72" t="s">
        <v>123</v>
      </c>
      <c r="I175" s="91">
        <v>34</v>
      </c>
      <c r="J175" s="91" t="str">
        <f>LEFT(empreend_Fehidro[[#This Row],[suBpdc classifc]],1)</f>
        <v>3</v>
      </c>
      <c r="K175" s="140" t="str" cm="1">
        <f t="array" ref="K175">IF(empreend_Fehidro[[#This Row],[Devolvido?]] = "Não", _xlfn.XLOOKUP(empreend_Fehidro[[#This Row],[UGRHI]] &amp; empreend_Fehidro[[#This Row],[PDC class]], PAPI!A:A &amp; PAPI!B:B,PAPI!C:C, " PDC não prioritário no PAPI"), "n/a")</f>
        <v>Prioritário</v>
      </c>
      <c r="L175" s="289" t="s">
        <v>95</v>
      </c>
    </row>
    <row r="176" spans="1:12">
      <c r="A176" s="142">
        <f>VLOOKUP(E176,Dim_Colegiado[],2,FALSE)</f>
        <v>17</v>
      </c>
      <c r="B176" s="143" t="str">
        <f t="shared" si="2"/>
        <v>2020</v>
      </c>
      <c r="C176" s="144" t="s">
        <v>313</v>
      </c>
      <c r="D176" s="91"/>
      <c r="E176" s="91" t="s">
        <v>310</v>
      </c>
      <c r="F176" s="88">
        <v>302555.8</v>
      </c>
      <c r="G176" s="96" t="s">
        <v>101</v>
      </c>
      <c r="H176" s="72" t="s">
        <v>123</v>
      </c>
      <c r="I176" s="91">
        <v>51</v>
      </c>
      <c r="J176" s="91" t="str">
        <f>LEFT(empreend_Fehidro[[#This Row],[suBpdc classifc]],1)</f>
        <v>5</v>
      </c>
      <c r="K176" s="140" t="str" cm="1">
        <f t="array" ref="K176">IF(empreend_Fehidro[[#This Row],[Devolvido?]] = "Não", _xlfn.XLOOKUP(empreend_Fehidro[[#This Row],[UGRHI]] &amp; empreend_Fehidro[[#This Row],[PDC class]], PAPI!A:A &amp; PAPI!B:B,PAPI!C:C, " PDC não prioritário no PAPI"), "n/a")</f>
        <v>Prioritário</v>
      </c>
      <c r="L176" s="289" t="s">
        <v>95</v>
      </c>
    </row>
    <row r="177" spans="1:12">
      <c r="A177" s="137">
        <f>VLOOKUP(E177,Dim_Colegiado[],2,FALSE)</f>
        <v>17</v>
      </c>
      <c r="B177" s="138" t="str">
        <f t="shared" si="2"/>
        <v>2020</v>
      </c>
      <c r="C177" s="139" t="s">
        <v>314</v>
      </c>
      <c r="D177" s="95"/>
      <c r="E177" s="95" t="s">
        <v>310</v>
      </c>
      <c r="F177" s="92">
        <v>296279.34000000003</v>
      </c>
      <c r="G177" s="96" t="s">
        <v>101</v>
      </c>
      <c r="H177" s="72" t="s">
        <v>123</v>
      </c>
      <c r="I177" s="91">
        <v>34</v>
      </c>
      <c r="J177" s="91" t="str">
        <f>LEFT(empreend_Fehidro[[#This Row],[suBpdc classifc]],1)</f>
        <v>3</v>
      </c>
      <c r="K177" s="140" t="str" cm="1">
        <f t="array" ref="K177">IF(empreend_Fehidro[[#This Row],[Devolvido?]] = "Não", _xlfn.XLOOKUP(empreend_Fehidro[[#This Row],[UGRHI]] &amp; empreend_Fehidro[[#This Row],[PDC class]], PAPI!A:A &amp; PAPI!B:B,PAPI!C:C, " PDC não prioritário no PAPI"), "n/a")</f>
        <v>Prioritário</v>
      </c>
      <c r="L177" s="289" t="s">
        <v>95</v>
      </c>
    </row>
    <row r="178" spans="1:12">
      <c r="A178" s="142">
        <f>VLOOKUP(E178,Dim_Colegiado[],2,FALSE)</f>
        <v>17</v>
      </c>
      <c r="B178" s="143" t="str">
        <f t="shared" si="2"/>
        <v>2020</v>
      </c>
      <c r="C178" s="144" t="s">
        <v>315</v>
      </c>
      <c r="D178" s="91"/>
      <c r="E178" s="91" t="s">
        <v>310</v>
      </c>
      <c r="F178" s="88">
        <v>261533.56</v>
      </c>
      <c r="G178" s="96" t="s">
        <v>101</v>
      </c>
      <c r="H178" s="72" t="s">
        <v>123</v>
      </c>
      <c r="I178" s="91">
        <v>34</v>
      </c>
      <c r="J178" s="91" t="str">
        <f>LEFT(empreend_Fehidro[[#This Row],[suBpdc classifc]],1)</f>
        <v>3</v>
      </c>
      <c r="K178" s="140" t="str" cm="1">
        <f t="array" ref="K178">IF(empreend_Fehidro[[#This Row],[Devolvido?]] = "Não", _xlfn.XLOOKUP(empreend_Fehidro[[#This Row],[UGRHI]] &amp; empreend_Fehidro[[#This Row],[PDC class]], PAPI!A:A &amp; PAPI!B:B,PAPI!C:C, " PDC não prioritário no PAPI"), "n/a")</f>
        <v>Prioritário</v>
      </c>
      <c r="L178" s="289" t="s">
        <v>95</v>
      </c>
    </row>
    <row r="179" spans="1:12">
      <c r="A179" s="137">
        <f>VLOOKUP(E179,Dim_Colegiado[],2,FALSE)</f>
        <v>17</v>
      </c>
      <c r="B179" s="138" t="str">
        <f t="shared" si="2"/>
        <v>2020</v>
      </c>
      <c r="C179" s="139" t="s">
        <v>316</v>
      </c>
      <c r="D179" s="95"/>
      <c r="E179" s="95" t="s">
        <v>310</v>
      </c>
      <c r="F179" s="92">
        <v>251341.8</v>
      </c>
      <c r="G179" s="96" t="s">
        <v>101</v>
      </c>
      <c r="H179" s="72" t="s">
        <v>123</v>
      </c>
      <c r="I179" s="91">
        <v>51</v>
      </c>
      <c r="J179" s="91" t="str">
        <f>LEFT(empreend_Fehidro[[#This Row],[suBpdc classifc]],1)</f>
        <v>5</v>
      </c>
      <c r="K179" s="140" t="str" cm="1">
        <f t="array" ref="K179">IF(empreend_Fehidro[[#This Row],[Devolvido?]] = "Não", _xlfn.XLOOKUP(empreend_Fehidro[[#This Row],[UGRHI]] &amp; empreend_Fehidro[[#This Row],[PDC class]], PAPI!A:A &amp; PAPI!B:B,PAPI!C:C, " PDC não prioritário no PAPI"), "n/a")</f>
        <v>Prioritário</v>
      </c>
      <c r="L179" s="289" t="s">
        <v>95</v>
      </c>
    </row>
    <row r="180" spans="1:12">
      <c r="A180" s="142">
        <f>VLOOKUP(E180,Dim_Colegiado[],2,FALSE)</f>
        <v>17</v>
      </c>
      <c r="B180" s="143" t="str">
        <f t="shared" si="2"/>
        <v>2020</v>
      </c>
      <c r="C180" s="144" t="s">
        <v>317</v>
      </c>
      <c r="D180" s="91"/>
      <c r="E180" s="91" t="s">
        <v>310</v>
      </c>
      <c r="F180" s="88">
        <v>244722.63</v>
      </c>
      <c r="G180" s="96" t="s">
        <v>101</v>
      </c>
      <c r="H180" s="72" t="s">
        <v>123</v>
      </c>
      <c r="I180" s="91">
        <v>31</v>
      </c>
      <c r="J180" s="91" t="str">
        <f>LEFT(empreend_Fehidro[[#This Row],[suBpdc classifc]],1)</f>
        <v>3</v>
      </c>
      <c r="K180" s="140" t="str" cm="1">
        <f t="array" ref="K180">IF(empreend_Fehidro[[#This Row],[Devolvido?]] = "Não", _xlfn.XLOOKUP(empreend_Fehidro[[#This Row],[UGRHI]] &amp; empreend_Fehidro[[#This Row],[PDC class]], PAPI!A:A &amp; PAPI!B:B,PAPI!C:C, " PDC não prioritário no PAPI"), "n/a")</f>
        <v>Prioritário</v>
      </c>
      <c r="L180" s="289" t="s">
        <v>95</v>
      </c>
    </row>
    <row r="181" spans="1:12">
      <c r="A181" s="137">
        <f>VLOOKUP(E181,Dim_Colegiado[],2,FALSE)</f>
        <v>18</v>
      </c>
      <c r="B181" s="138" t="str">
        <f t="shared" si="2"/>
        <v>2020</v>
      </c>
      <c r="C181" s="139" t="s">
        <v>318</v>
      </c>
      <c r="D181" s="95"/>
      <c r="E181" s="95" t="s">
        <v>319</v>
      </c>
      <c r="F181" s="92">
        <v>224699.13</v>
      </c>
      <c r="G181" s="96" t="s">
        <v>101</v>
      </c>
      <c r="H181" s="72" t="s">
        <v>123</v>
      </c>
      <c r="I181" s="91">
        <v>12</v>
      </c>
      <c r="J181" s="91" t="str">
        <f>LEFT(empreend_Fehidro[[#This Row],[suBpdc classifc]],1)</f>
        <v>1</v>
      </c>
      <c r="K181" s="140" t="str" cm="1">
        <f t="array" ref="K181">IF(empreend_Fehidro[[#This Row],[Devolvido?]] = "Não", _xlfn.XLOOKUP(empreend_Fehidro[[#This Row],[UGRHI]] &amp; empreend_Fehidro[[#This Row],[PDC class]], PAPI!A:A &amp; PAPI!B:B,PAPI!C:C, " PDC não prioritário no PAPI"), "n/a")</f>
        <v>PDC 1 e 2</v>
      </c>
      <c r="L181" s="289" t="s">
        <v>96</v>
      </c>
    </row>
    <row r="182" spans="1:12">
      <c r="A182" s="137">
        <f>VLOOKUP(E182,Dim_Colegiado[],2,FALSE)</f>
        <v>19</v>
      </c>
      <c r="B182" s="138" t="str">
        <f t="shared" si="2"/>
        <v>2020</v>
      </c>
      <c r="C182" s="139" t="s">
        <v>320</v>
      </c>
      <c r="D182" s="95"/>
      <c r="E182" s="95" t="s">
        <v>321</v>
      </c>
      <c r="F182" s="92">
        <v>859793.72</v>
      </c>
      <c r="G182" s="96" t="s">
        <v>101</v>
      </c>
      <c r="H182" s="72" t="s">
        <v>123</v>
      </c>
      <c r="I182" s="91">
        <v>31</v>
      </c>
      <c r="J182" s="91" t="str">
        <f>LEFT(empreend_Fehidro[[#This Row],[suBpdc classifc]],1)</f>
        <v>3</v>
      </c>
      <c r="K182" s="140" t="str" cm="1">
        <f t="array" ref="K182">IF(empreend_Fehidro[[#This Row],[Devolvido?]] = "Não", _xlfn.XLOOKUP(empreend_Fehidro[[#This Row],[UGRHI]] &amp; empreend_Fehidro[[#This Row],[PDC class]], PAPI!A:A &amp; PAPI!B:B,PAPI!C:C, " PDC não prioritário no PAPI"), "n/a")</f>
        <v>Prioritário</v>
      </c>
      <c r="L182" s="289" t="s">
        <v>95</v>
      </c>
    </row>
    <row r="183" spans="1:12">
      <c r="A183" s="142">
        <f>VLOOKUP(E183,Dim_Colegiado[],2,FALSE)</f>
        <v>19</v>
      </c>
      <c r="B183" s="143" t="str">
        <f t="shared" si="2"/>
        <v>2020</v>
      </c>
      <c r="C183" s="144" t="s">
        <v>322</v>
      </c>
      <c r="D183" s="91"/>
      <c r="E183" s="91" t="s">
        <v>321</v>
      </c>
      <c r="F183" s="88">
        <v>760000</v>
      </c>
      <c r="G183" s="96" t="s">
        <v>101</v>
      </c>
      <c r="H183" s="72" t="s">
        <v>123</v>
      </c>
      <c r="I183" s="91">
        <v>33</v>
      </c>
      <c r="J183" s="91" t="str">
        <f>LEFT(empreend_Fehidro[[#This Row],[suBpdc classifc]],1)</f>
        <v>3</v>
      </c>
      <c r="K183" s="140" t="str" cm="1">
        <f t="array" ref="K183">IF(empreend_Fehidro[[#This Row],[Devolvido?]] = "Não", _xlfn.XLOOKUP(empreend_Fehidro[[#This Row],[UGRHI]] &amp; empreend_Fehidro[[#This Row],[PDC class]], PAPI!A:A &amp; PAPI!B:B,PAPI!C:C, " PDC não prioritário no PAPI"), "n/a")</f>
        <v>Prioritário</v>
      </c>
      <c r="L183" s="289" t="s">
        <v>95</v>
      </c>
    </row>
    <row r="184" spans="1:12">
      <c r="A184" s="137">
        <f>VLOOKUP(E184,Dim_Colegiado[],2,FALSE)</f>
        <v>19</v>
      </c>
      <c r="B184" s="138" t="str">
        <f t="shared" si="2"/>
        <v>2020</v>
      </c>
      <c r="C184" s="139" t="s">
        <v>323</v>
      </c>
      <c r="D184" s="95"/>
      <c r="E184" s="95" t="s">
        <v>321</v>
      </c>
      <c r="F184" s="92">
        <v>554831.06999999995</v>
      </c>
      <c r="G184" s="96" t="s">
        <v>101</v>
      </c>
      <c r="H184" s="72" t="s">
        <v>123</v>
      </c>
      <c r="I184" s="91">
        <v>33</v>
      </c>
      <c r="J184" s="91" t="str">
        <f>LEFT(empreend_Fehidro[[#This Row],[suBpdc classifc]],1)</f>
        <v>3</v>
      </c>
      <c r="K184" s="140" t="str" cm="1">
        <f t="array" ref="K184">IF(empreend_Fehidro[[#This Row],[Devolvido?]] = "Não", _xlfn.XLOOKUP(empreend_Fehidro[[#This Row],[UGRHI]] &amp; empreend_Fehidro[[#This Row],[PDC class]], PAPI!A:A &amp; PAPI!B:B,PAPI!C:C, " PDC não prioritário no PAPI"), "n/a")</f>
        <v>Prioritário</v>
      </c>
      <c r="L184" s="289" t="s">
        <v>95</v>
      </c>
    </row>
    <row r="185" spans="1:12">
      <c r="A185" s="142">
        <f>VLOOKUP(E185,Dim_Colegiado[],2,FALSE)</f>
        <v>19</v>
      </c>
      <c r="B185" s="143" t="str">
        <f t="shared" si="2"/>
        <v>2020</v>
      </c>
      <c r="C185" s="144" t="s">
        <v>324</v>
      </c>
      <c r="D185" s="91"/>
      <c r="E185" s="91" t="s">
        <v>321</v>
      </c>
      <c r="F185" s="88">
        <v>541102.62</v>
      </c>
      <c r="G185" s="96" t="s">
        <v>101</v>
      </c>
      <c r="H185" s="72" t="s">
        <v>123</v>
      </c>
      <c r="I185" s="91">
        <v>33</v>
      </c>
      <c r="J185" s="91" t="str">
        <f>LEFT(empreend_Fehidro[[#This Row],[suBpdc classifc]],1)</f>
        <v>3</v>
      </c>
      <c r="K185" s="140" t="str" cm="1">
        <f t="array" ref="K185">IF(empreend_Fehidro[[#This Row],[Devolvido?]] = "Não", _xlfn.XLOOKUP(empreend_Fehidro[[#This Row],[UGRHI]] &amp; empreend_Fehidro[[#This Row],[PDC class]], PAPI!A:A &amp; PAPI!B:B,PAPI!C:C, " PDC não prioritário no PAPI"), "n/a")</f>
        <v>Prioritário</v>
      </c>
      <c r="L185" s="289" t="s">
        <v>95</v>
      </c>
    </row>
    <row r="186" spans="1:12">
      <c r="A186" s="137">
        <f>VLOOKUP(E186,Dim_Colegiado[],2,FALSE)</f>
        <v>19</v>
      </c>
      <c r="B186" s="138" t="str">
        <f t="shared" si="2"/>
        <v>2020</v>
      </c>
      <c r="C186" s="139" t="s">
        <v>325</v>
      </c>
      <c r="D186" s="95"/>
      <c r="E186" s="95" t="s">
        <v>321</v>
      </c>
      <c r="F186" s="92">
        <v>532585</v>
      </c>
      <c r="G186" s="96" t="s">
        <v>101</v>
      </c>
      <c r="H186" s="72" t="s">
        <v>123</v>
      </c>
      <c r="I186" s="91">
        <v>31</v>
      </c>
      <c r="J186" s="91" t="str">
        <f>LEFT(empreend_Fehidro[[#This Row],[suBpdc classifc]],1)</f>
        <v>3</v>
      </c>
      <c r="K186" s="140" t="str" cm="1">
        <f t="array" ref="K186">IF(empreend_Fehidro[[#This Row],[Devolvido?]] = "Não", _xlfn.XLOOKUP(empreend_Fehidro[[#This Row],[UGRHI]] &amp; empreend_Fehidro[[#This Row],[PDC class]], PAPI!A:A &amp; PAPI!B:B,PAPI!C:C, " PDC não prioritário no PAPI"), "n/a")</f>
        <v>Prioritário</v>
      </c>
      <c r="L186" s="289" t="s">
        <v>95</v>
      </c>
    </row>
    <row r="187" spans="1:12">
      <c r="A187" s="142">
        <f>VLOOKUP(E187,Dim_Colegiado[],2,FALSE)</f>
        <v>19</v>
      </c>
      <c r="B187" s="143" t="str">
        <f t="shared" si="2"/>
        <v>2020</v>
      </c>
      <c r="C187" s="144" t="s">
        <v>326</v>
      </c>
      <c r="D187" s="91"/>
      <c r="E187" s="91" t="s">
        <v>321</v>
      </c>
      <c r="F187" s="88">
        <v>432847.22</v>
      </c>
      <c r="G187" s="96" t="s">
        <v>101</v>
      </c>
      <c r="H187" s="72" t="s">
        <v>123</v>
      </c>
      <c r="I187" s="91">
        <v>33</v>
      </c>
      <c r="J187" s="91" t="str">
        <f>LEFT(empreend_Fehidro[[#This Row],[suBpdc classifc]],1)</f>
        <v>3</v>
      </c>
      <c r="K187" s="140" t="str" cm="1">
        <f t="array" ref="K187">IF(empreend_Fehidro[[#This Row],[Devolvido?]] = "Não", _xlfn.XLOOKUP(empreend_Fehidro[[#This Row],[UGRHI]] &amp; empreend_Fehidro[[#This Row],[PDC class]], PAPI!A:A &amp; PAPI!B:B,PAPI!C:C, " PDC não prioritário no PAPI"), "n/a")</f>
        <v>Prioritário</v>
      </c>
      <c r="L187" s="289" t="s">
        <v>95</v>
      </c>
    </row>
    <row r="188" spans="1:12">
      <c r="A188" s="137">
        <f>VLOOKUP(E188,Dim_Colegiado[],2,FALSE)</f>
        <v>19</v>
      </c>
      <c r="B188" s="138" t="str">
        <f t="shared" si="2"/>
        <v>2020</v>
      </c>
      <c r="C188" s="139" t="s">
        <v>327</v>
      </c>
      <c r="D188" s="95"/>
      <c r="E188" s="95" t="s">
        <v>321</v>
      </c>
      <c r="F188" s="92">
        <v>359602.43</v>
      </c>
      <c r="G188" s="96" t="s">
        <v>101</v>
      </c>
      <c r="H188" s="72" t="s">
        <v>123</v>
      </c>
      <c r="I188" s="91">
        <v>33</v>
      </c>
      <c r="J188" s="91" t="str">
        <f>LEFT(empreend_Fehidro[[#This Row],[suBpdc classifc]],1)</f>
        <v>3</v>
      </c>
      <c r="K188" s="140" t="str" cm="1">
        <f t="array" ref="K188">IF(empreend_Fehidro[[#This Row],[Devolvido?]] = "Não", _xlfn.XLOOKUP(empreend_Fehidro[[#This Row],[UGRHI]] &amp; empreend_Fehidro[[#This Row],[PDC class]], PAPI!A:A &amp; PAPI!B:B,PAPI!C:C, " PDC não prioritário no PAPI"), "n/a")</f>
        <v>Prioritário</v>
      </c>
      <c r="L188" s="289" t="s">
        <v>95</v>
      </c>
    </row>
    <row r="189" spans="1:12">
      <c r="A189" s="142">
        <f>VLOOKUP(E189,Dim_Colegiado[],2,FALSE)</f>
        <v>19</v>
      </c>
      <c r="B189" s="143" t="str">
        <f t="shared" si="2"/>
        <v>2020</v>
      </c>
      <c r="C189" s="144" t="s">
        <v>328</v>
      </c>
      <c r="D189" s="91"/>
      <c r="E189" s="91" t="s">
        <v>321</v>
      </c>
      <c r="F189" s="88">
        <v>340487.44</v>
      </c>
      <c r="G189" s="96" t="s">
        <v>101</v>
      </c>
      <c r="H189" s="72" t="s">
        <v>123</v>
      </c>
      <c r="I189" s="91">
        <v>31</v>
      </c>
      <c r="J189" s="91" t="str">
        <f>LEFT(empreend_Fehidro[[#This Row],[suBpdc classifc]],1)</f>
        <v>3</v>
      </c>
      <c r="K189" s="140" t="str" cm="1">
        <f t="array" ref="K189">IF(empreend_Fehidro[[#This Row],[Devolvido?]] = "Não", _xlfn.XLOOKUP(empreend_Fehidro[[#This Row],[UGRHI]] &amp; empreend_Fehidro[[#This Row],[PDC class]], PAPI!A:A &amp; PAPI!B:B,PAPI!C:C, " PDC não prioritário no PAPI"), "n/a")</f>
        <v>Prioritário</v>
      </c>
      <c r="L189" s="289" t="s">
        <v>95</v>
      </c>
    </row>
    <row r="190" spans="1:12">
      <c r="A190" s="137">
        <f>VLOOKUP(E190,Dim_Colegiado[],2,FALSE)</f>
        <v>19</v>
      </c>
      <c r="B190" s="138" t="str">
        <f t="shared" si="2"/>
        <v>2020</v>
      </c>
      <c r="C190" s="139" t="s">
        <v>329</v>
      </c>
      <c r="D190" s="95"/>
      <c r="E190" s="95" t="s">
        <v>321</v>
      </c>
      <c r="F190" s="92">
        <v>295632.14</v>
      </c>
      <c r="G190" s="96" t="s">
        <v>101</v>
      </c>
      <c r="H190" s="72" t="s">
        <v>123</v>
      </c>
      <c r="I190" s="91">
        <v>33</v>
      </c>
      <c r="J190" s="91" t="str">
        <f>LEFT(empreend_Fehidro[[#This Row],[suBpdc classifc]],1)</f>
        <v>3</v>
      </c>
      <c r="K190" s="140" t="str" cm="1">
        <f t="array" ref="K190">IF(empreend_Fehidro[[#This Row],[Devolvido?]] = "Não", _xlfn.XLOOKUP(empreend_Fehidro[[#This Row],[UGRHI]] &amp; empreend_Fehidro[[#This Row],[PDC class]], PAPI!A:A &amp; PAPI!B:B,PAPI!C:C, " PDC não prioritário no PAPI"), "n/a")</f>
        <v>Prioritário</v>
      </c>
      <c r="L190" s="289" t="s">
        <v>95</v>
      </c>
    </row>
    <row r="191" spans="1:12">
      <c r="A191" s="142">
        <f>VLOOKUP(E191,Dim_Colegiado[],2,FALSE)</f>
        <v>19</v>
      </c>
      <c r="B191" s="143" t="str">
        <f t="shared" si="2"/>
        <v>2020</v>
      </c>
      <c r="C191" s="144" t="s">
        <v>330</v>
      </c>
      <c r="D191" s="91"/>
      <c r="E191" s="91" t="s">
        <v>321</v>
      </c>
      <c r="F191" s="88">
        <v>286330.11</v>
      </c>
      <c r="G191" s="96" t="s">
        <v>101</v>
      </c>
      <c r="H191" s="72" t="s">
        <v>123</v>
      </c>
      <c r="I191" s="91">
        <v>33</v>
      </c>
      <c r="J191" s="91" t="str">
        <f>LEFT(empreend_Fehidro[[#This Row],[suBpdc classifc]],1)</f>
        <v>3</v>
      </c>
      <c r="K191" s="140" t="str" cm="1">
        <f t="array" ref="K191">IF(empreend_Fehidro[[#This Row],[Devolvido?]] = "Não", _xlfn.XLOOKUP(empreend_Fehidro[[#This Row],[UGRHI]] &amp; empreend_Fehidro[[#This Row],[PDC class]], PAPI!A:A &amp; PAPI!B:B,PAPI!C:C, " PDC não prioritário no PAPI"), "n/a")</f>
        <v>Prioritário</v>
      </c>
      <c r="L191" s="289" t="s">
        <v>95</v>
      </c>
    </row>
    <row r="192" spans="1:12">
      <c r="A192" s="137">
        <f>VLOOKUP(E192,Dim_Colegiado[],2,FALSE)</f>
        <v>19</v>
      </c>
      <c r="B192" s="138" t="str">
        <f t="shared" si="2"/>
        <v>2020</v>
      </c>
      <c r="C192" s="139" t="s">
        <v>331</v>
      </c>
      <c r="D192" s="95"/>
      <c r="E192" s="95" t="s">
        <v>321</v>
      </c>
      <c r="F192" s="92">
        <v>262006.01</v>
      </c>
      <c r="G192" s="96" t="s">
        <v>101</v>
      </c>
      <c r="H192" s="72" t="s">
        <v>123</v>
      </c>
      <c r="I192" s="91">
        <v>31</v>
      </c>
      <c r="J192" s="91" t="str">
        <f>LEFT(empreend_Fehidro[[#This Row],[suBpdc classifc]],1)</f>
        <v>3</v>
      </c>
      <c r="K192" s="140" t="str" cm="1">
        <f t="array" ref="K192">IF(empreend_Fehidro[[#This Row],[Devolvido?]] = "Não", _xlfn.XLOOKUP(empreend_Fehidro[[#This Row],[UGRHI]] &amp; empreend_Fehidro[[#This Row],[PDC class]], PAPI!A:A &amp; PAPI!B:B,PAPI!C:C, " PDC não prioritário no PAPI"), "n/a")</f>
        <v>Prioritário</v>
      </c>
      <c r="L192" s="289" t="s">
        <v>95</v>
      </c>
    </row>
    <row r="193" spans="1:12">
      <c r="A193" s="142">
        <f>VLOOKUP(E193,Dim_Colegiado[],2,FALSE)</f>
        <v>19</v>
      </c>
      <c r="B193" s="143" t="str">
        <f t="shared" si="2"/>
        <v>2020</v>
      </c>
      <c r="C193" s="144" t="s">
        <v>332</v>
      </c>
      <c r="D193" s="91"/>
      <c r="E193" s="91" t="s">
        <v>321</v>
      </c>
      <c r="F193" s="88">
        <v>256500</v>
      </c>
      <c r="G193" s="96" t="s">
        <v>101</v>
      </c>
      <c r="H193" s="72" t="s">
        <v>123</v>
      </c>
      <c r="I193" s="91">
        <v>33</v>
      </c>
      <c r="J193" s="91" t="str">
        <f>LEFT(empreend_Fehidro[[#This Row],[suBpdc classifc]],1)</f>
        <v>3</v>
      </c>
      <c r="K193" s="140" t="str" cm="1">
        <f t="array" ref="K193">IF(empreend_Fehidro[[#This Row],[Devolvido?]] = "Não", _xlfn.XLOOKUP(empreend_Fehidro[[#This Row],[UGRHI]] &amp; empreend_Fehidro[[#This Row],[PDC class]], PAPI!A:A &amp; PAPI!B:B,PAPI!C:C, " PDC não prioritário no PAPI"), "n/a")</f>
        <v>Prioritário</v>
      </c>
      <c r="L193" s="289" t="s">
        <v>95</v>
      </c>
    </row>
    <row r="194" spans="1:12">
      <c r="A194" s="137">
        <f>VLOOKUP(E194,Dim_Colegiado[],2,FALSE)</f>
        <v>19</v>
      </c>
      <c r="B194" s="138" t="str">
        <f t="shared" ref="B194:B257" si="3">LEFT(C194,4)</f>
        <v>2020</v>
      </c>
      <c r="C194" s="139" t="s">
        <v>333</v>
      </c>
      <c r="D194" s="95"/>
      <c r="E194" s="95" t="s">
        <v>321</v>
      </c>
      <c r="F194" s="92">
        <v>249257.53</v>
      </c>
      <c r="G194" s="96" t="s">
        <v>101</v>
      </c>
      <c r="H194" s="72" t="s">
        <v>123</v>
      </c>
      <c r="I194" s="91">
        <v>33</v>
      </c>
      <c r="J194" s="91" t="str">
        <f>LEFT(empreend_Fehidro[[#This Row],[suBpdc classifc]],1)</f>
        <v>3</v>
      </c>
      <c r="K194" s="140" t="str" cm="1">
        <f t="array" ref="K194">IF(empreend_Fehidro[[#This Row],[Devolvido?]] = "Não", _xlfn.XLOOKUP(empreend_Fehidro[[#This Row],[UGRHI]] &amp; empreend_Fehidro[[#This Row],[PDC class]], PAPI!A:A &amp; PAPI!B:B,PAPI!C:C, " PDC não prioritário no PAPI"), "n/a")</f>
        <v>Prioritário</v>
      </c>
      <c r="L194" s="289" t="s">
        <v>95</v>
      </c>
    </row>
    <row r="195" spans="1:12">
      <c r="A195" s="142">
        <f>VLOOKUP(E195,Dim_Colegiado[],2,FALSE)</f>
        <v>19</v>
      </c>
      <c r="B195" s="143" t="str">
        <f t="shared" si="3"/>
        <v>2020</v>
      </c>
      <c r="C195" s="144" t="s">
        <v>334</v>
      </c>
      <c r="D195" s="91"/>
      <c r="E195" s="91" t="s">
        <v>321</v>
      </c>
      <c r="F195" s="88">
        <v>245897.52</v>
      </c>
      <c r="G195" s="96" t="s">
        <v>101</v>
      </c>
      <c r="H195" s="72" t="s">
        <v>123</v>
      </c>
      <c r="I195" s="91">
        <v>33</v>
      </c>
      <c r="J195" s="91" t="str">
        <f>LEFT(empreend_Fehidro[[#This Row],[suBpdc classifc]],1)</f>
        <v>3</v>
      </c>
      <c r="K195" s="140" t="str" cm="1">
        <f t="array" ref="K195">IF(empreend_Fehidro[[#This Row],[Devolvido?]] = "Não", _xlfn.XLOOKUP(empreend_Fehidro[[#This Row],[UGRHI]] &amp; empreend_Fehidro[[#This Row],[PDC class]], PAPI!A:A &amp; PAPI!B:B,PAPI!C:C, " PDC não prioritário no PAPI"), "n/a")</f>
        <v>Prioritário</v>
      </c>
      <c r="L195" s="289" t="s">
        <v>95</v>
      </c>
    </row>
    <row r="196" spans="1:12">
      <c r="A196" s="137">
        <f>VLOOKUP(E196,Dim_Colegiado[],2,FALSE)</f>
        <v>19</v>
      </c>
      <c r="B196" s="138" t="str">
        <f t="shared" si="3"/>
        <v>2020</v>
      </c>
      <c r="C196" s="139" t="s">
        <v>335</v>
      </c>
      <c r="D196" s="95"/>
      <c r="E196" s="95" t="s">
        <v>321</v>
      </c>
      <c r="F196" s="92">
        <v>229283.17</v>
      </c>
      <c r="G196" s="96" t="s">
        <v>101</v>
      </c>
      <c r="H196" s="72" t="s">
        <v>123</v>
      </c>
      <c r="I196" s="91">
        <v>51</v>
      </c>
      <c r="J196" s="91" t="str">
        <f>LEFT(empreend_Fehidro[[#This Row],[suBpdc classifc]],1)</f>
        <v>5</v>
      </c>
      <c r="K196" s="140" t="str" cm="1">
        <f t="array" ref="K196">IF(empreend_Fehidro[[#This Row],[Devolvido?]] = "Não", _xlfn.XLOOKUP(empreend_Fehidro[[#This Row],[UGRHI]] &amp; empreend_Fehidro[[#This Row],[PDC class]], PAPI!A:A &amp; PAPI!B:B,PAPI!C:C, " PDC não prioritário no PAPI"), "n/a")</f>
        <v>Prioritário</v>
      </c>
      <c r="L196" s="289" t="s">
        <v>95</v>
      </c>
    </row>
    <row r="197" spans="1:12">
      <c r="A197" s="142">
        <f>VLOOKUP(E197,Dim_Colegiado[],2,FALSE)</f>
        <v>19</v>
      </c>
      <c r="B197" s="143" t="str">
        <f t="shared" si="3"/>
        <v>2020</v>
      </c>
      <c r="C197" s="144" t="s">
        <v>336</v>
      </c>
      <c r="D197" s="91"/>
      <c r="E197" s="91" t="s">
        <v>321</v>
      </c>
      <c r="F197" s="88">
        <v>189877.13</v>
      </c>
      <c r="G197" s="96" t="s">
        <v>101</v>
      </c>
      <c r="H197" s="72" t="s">
        <v>123</v>
      </c>
      <c r="I197" s="91">
        <v>33</v>
      </c>
      <c r="J197" s="91" t="str">
        <f>LEFT(empreend_Fehidro[[#This Row],[suBpdc classifc]],1)</f>
        <v>3</v>
      </c>
      <c r="K197" s="140" t="str" cm="1">
        <f t="array" ref="K197">IF(empreend_Fehidro[[#This Row],[Devolvido?]] = "Não", _xlfn.XLOOKUP(empreend_Fehidro[[#This Row],[UGRHI]] &amp; empreend_Fehidro[[#This Row],[PDC class]], PAPI!A:A &amp; PAPI!B:B,PAPI!C:C, " PDC não prioritário no PAPI"), "n/a")</f>
        <v>Prioritário</v>
      </c>
      <c r="L197" s="289" t="s">
        <v>95</v>
      </c>
    </row>
    <row r="198" spans="1:12">
      <c r="A198" s="137">
        <f>VLOOKUP(E198,Dim_Colegiado[],2,FALSE)</f>
        <v>19</v>
      </c>
      <c r="B198" s="138" t="str">
        <f t="shared" si="3"/>
        <v>2020</v>
      </c>
      <c r="C198" s="139" t="s">
        <v>337</v>
      </c>
      <c r="D198" s="95"/>
      <c r="E198" s="95" t="s">
        <v>321</v>
      </c>
      <c r="F198" s="92">
        <v>178232.47</v>
      </c>
      <c r="G198" s="96" t="s">
        <v>101</v>
      </c>
      <c r="H198" s="72" t="s">
        <v>123</v>
      </c>
      <c r="I198" s="91">
        <v>31</v>
      </c>
      <c r="J198" s="91" t="str">
        <f>LEFT(empreend_Fehidro[[#This Row],[suBpdc classifc]],1)</f>
        <v>3</v>
      </c>
      <c r="K198" s="140" t="str" cm="1">
        <f t="array" ref="K198">IF(empreend_Fehidro[[#This Row],[Devolvido?]] = "Não", _xlfn.XLOOKUP(empreend_Fehidro[[#This Row],[UGRHI]] &amp; empreend_Fehidro[[#This Row],[PDC class]], PAPI!A:A &amp; PAPI!B:B,PAPI!C:C, " PDC não prioritário no PAPI"), "n/a")</f>
        <v>Prioritário</v>
      </c>
      <c r="L198" s="289" t="s">
        <v>95</v>
      </c>
    </row>
    <row r="199" spans="1:12">
      <c r="A199" s="142">
        <f>VLOOKUP(E199,Dim_Colegiado[],2,FALSE)</f>
        <v>19</v>
      </c>
      <c r="B199" s="143" t="str">
        <f t="shared" si="3"/>
        <v>2020</v>
      </c>
      <c r="C199" s="144" t="s">
        <v>338</v>
      </c>
      <c r="D199" s="91"/>
      <c r="E199" s="91" t="s">
        <v>321</v>
      </c>
      <c r="F199" s="88">
        <v>166566.01</v>
      </c>
      <c r="G199" s="96" t="s">
        <v>101</v>
      </c>
      <c r="H199" s="72" t="s">
        <v>123</v>
      </c>
      <c r="I199" s="91">
        <v>32</v>
      </c>
      <c r="J199" s="91" t="str">
        <f>LEFT(empreend_Fehidro[[#This Row],[suBpdc classifc]],1)</f>
        <v>3</v>
      </c>
      <c r="K199" s="140" t="str" cm="1">
        <f t="array" ref="K199">IF(empreend_Fehidro[[#This Row],[Devolvido?]] = "Não", _xlfn.XLOOKUP(empreend_Fehidro[[#This Row],[UGRHI]] &amp; empreend_Fehidro[[#This Row],[PDC class]], PAPI!A:A &amp; PAPI!B:B,PAPI!C:C, " PDC não prioritário no PAPI"), "n/a")</f>
        <v>Prioritário</v>
      </c>
      <c r="L199" s="289" t="s">
        <v>95</v>
      </c>
    </row>
    <row r="200" spans="1:12">
      <c r="A200" s="137">
        <f>VLOOKUP(E200,Dim_Colegiado[],2,FALSE)</f>
        <v>19</v>
      </c>
      <c r="B200" s="138" t="str">
        <f t="shared" si="3"/>
        <v>2020</v>
      </c>
      <c r="C200" s="139" t="s">
        <v>339</v>
      </c>
      <c r="D200" s="95"/>
      <c r="E200" s="95" t="s">
        <v>321</v>
      </c>
      <c r="F200" s="92">
        <v>150000</v>
      </c>
      <c r="G200" s="96" t="s">
        <v>101</v>
      </c>
      <c r="H200" s="72" t="s">
        <v>123</v>
      </c>
      <c r="I200" s="91">
        <v>32</v>
      </c>
      <c r="J200" s="91" t="str">
        <f>LEFT(empreend_Fehidro[[#This Row],[suBpdc classifc]],1)</f>
        <v>3</v>
      </c>
      <c r="K200" s="140" t="str" cm="1">
        <f t="array" ref="K200">IF(empreend_Fehidro[[#This Row],[Devolvido?]] = "Não", _xlfn.XLOOKUP(empreend_Fehidro[[#This Row],[UGRHI]] &amp; empreend_Fehidro[[#This Row],[PDC class]], PAPI!A:A &amp; PAPI!B:B,PAPI!C:C, " PDC não prioritário no PAPI"), "n/a")</f>
        <v>Prioritário</v>
      </c>
      <c r="L200" s="289" t="s">
        <v>95</v>
      </c>
    </row>
    <row r="201" spans="1:12">
      <c r="A201" s="142">
        <f>VLOOKUP(E201,Dim_Colegiado[],2,FALSE)</f>
        <v>22</v>
      </c>
      <c r="B201" s="143" t="str">
        <f t="shared" si="3"/>
        <v>2020</v>
      </c>
      <c r="C201" s="144" t="s">
        <v>340</v>
      </c>
      <c r="D201" s="91"/>
      <c r="E201" s="91" t="s">
        <v>341</v>
      </c>
      <c r="F201" s="88">
        <v>400000</v>
      </c>
      <c r="G201" s="96" t="s">
        <v>101</v>
      </c>
      <c r="H201" s="72" t="s">
        <v>123</v>
      </c>
      <c r="I201" s="91">
        <v>34</v>
      </c>
      <c r="J201" s="91" t="str">
        <f>LEFT(empreend_Fehidro[[#This Row],[suBpdc classifc]],1)</f>
        <v>3</v>
      </c>
      <c r="K201" s="140" t="str" cm="1">
        <f t="array" ref="K201">IF(empreend_Fehidro[[#This Row],[Devolvido?]] = "Não", _xlfn.XLOOKUP(empreend_Fehidro[[#This Row],[UGRHI]] &amp; empreend_Fehidro[[#This Row],[PDC class]], PAPI!A:A &amp; PAPI!B:B,PAPI!C:C, " PDC não prioritário no PAPI"), "n/a")</f>
        <v>Prioritário</v>
      </c>
      <c r="L201" s="289" t="s">
        <v>95</v>
      </c>
    </row>
    <row r="202" spans="1:12" s="141" customFormat="1" ht="11.25" customHeight="1">
      <c r="A202" s="137">
        <f>VLOOKUP(E202,Dim_Colegiado[],2,FALSE)</f>
        <v>22</v>
      </c>
      <c r="B202" s="138" t="str">
        <f t="shared" si="3"/>
        <v>2020</v>
      </c>
      <c r="C202" s="139" t="s">
        <v>342</v>
      </c>
      <c r="D202" s="95"/>
      <c r="E202" s="95" t="s">
        <v>341</v>
      </c>
      <c r="F202" s="92">
        <v>400000</v>
      </c>
      <c r="G202" s="96" t="s">
        <v>101</v>
      </c>
      <c r="H202" s="72" t="s">
        <v>123</v>
      </c>
      <c r="I202" s="91">
        <v>34</v>
      </c>
      <c r="J202" s="91" t="str">
        <f>LEFT(empreend_Fehidro[[#This Row],[suBpdc classifc]],1)</f>
        <v>3</v>
      </c>
      <c r="K202" s="140" t="str" cm="1">
        <f t="array" ref="K202">IF(empreend_Fehidro[[#This Row],[Devolvido?]] = "Não", _xlfn.XLOOKUP(empreend_Fehidro[[#This Row],[UGRHI]] &amp; empreend_Fehidro[[#This Row],[PDC class]], PAPI!A:A &amp; PAPI!B:B,PAPI!C:C, " PDC não prioritário no PAPI"), "n/a")</f>
        <v>Prioritário</v>
      </c>
      <c r="L202" s="289" t="s">
        <v>95</v>
      </c>
    </row>
    <row r="203" spans="1:12" s="141" customFormat="1" ht="11.25" customHeight="1">
      <c r="A203" s="142">
        <f>VLOOKUP(E203,Dim_Colegiado[],2,FALSE)</f>
        <v>22</v>
      </c>
      <c r="B203" s="143" t="str">
        <f t="shared" si="3"/>
        <v>2020</v>
      </c>
      <c r="C203" s="144" t="s">
        <v>343</v>
      </c>
      <c r="D203" s="91"/>
      <c r="E203" s="91" t="s">
        <v>341</v>
      </c>
      <c r="F203" s="88">
        <v>400000</v>
      </c>
      <c r="G203" s="96" t="s">
        <v>101</v>
      </c>
      <c r="H203" s="72" t="s">
        <v>123</v>
      </c>
      <c r="I203" s="91">
        <v>33</v>
      </c>
      <c r="J203" s="91" t="str">
        <f>LEFT(empreend_Fehidro[[#This Row],[suBpdc classifc]],1)</f>
        <v>3</v>
      </c>
      <c r="K203" s="140" t="str" cm="1">
        <f t="array" ref="K203">IF(empreend_Fehidro[[#This Row],[Devolvido?]] = "Não", _xlfn.XLOOKUP(empreend_Fehidro[[#This Row],[UGRHI]] &amp; empreend_Fehidro[[#This Row],[PDC class]], PAPI!A:A &amp; PAPI!B:B,PAPI!C:C, " PDC não prioritário no PAPI"), "n/a")</f>
        <v>Prioritário</v>
      </c>
      <c r="L203" s="289" t="s">
        <v>95</v>
      </c>
    </row>
    <row r="204" spans="1:12" s="141" customFormat="1" ht="11.25" customHeight="1">
      <c r="A204" s="137">
        <f>VLOOKUP(E204,Dim_Colegiado[],2,FALSE)</f>
        <v>22</v>
      </c>
      <c r="B204" s="138" t="str">
        <f t="shared" si="3"/>
        <v>2020</v>
      </c>
      <c r="C204" s="139" t="s">
        <v>344</v>
      </c>
      <c r="D204" s="95"/>
      <c r="E204" s="95" t="s">
        <v>341</v>
      </c>
      <c r="F204" s="92">
        <v>396276.24</v>
      </c>
      <c r="G204" s="96" t="s">
        <v>101</v>
      </c>
      <c r="H204" s="72" t="s">
        <v>123</v>
      </c>
      <c r="I204" s="91">
        <v>34</v>
      </c>
      <c r="J204" s="91" t="str">
        <f>LEFT(empreend_Fehidro[[#This Row],[suBpdc classifc]],1)</f>
        <v>3</v>
      </c>
      <c r="K204" s="140" t="str" cm="1">
        <f t="array" ref="K204">IF(empreend_Fehidro[[#This Row],[Devolvido?]] = "Não", _xlfn.XLOOKUP(empreend_Fehidro[[#This Row],[UGRHI]] &amp; empreend_Fehidro[[#This Row],[PDC class]], PAPI!A:A &amp; PAPI!B:B,PAPI!C:C, " PDC não prioritário no PAPI"), "n/a")</f>
        <v>Prioritário</v>
      </c>
      <c r="L204" s="289" t="s">
        <v>95</v>
      </c>
    </row>
    <row r="205" spans="1:12" s="141" customFormat="1">
      <c r="A205" s="142">
        <f>VLOOKUP(E205,Dim_Colegiado[],2,FALSE)</f>
        <v>22</v>
      </c>
      <c r="B205" s="143" t="str">
        <f t="shared" si="3"/>
        <v>2020</v>
      </c>
      <c r="C205" s="144" t="s">
        <v>345</v>
      </c>
      <c r="D205" s="91"/>
      <c r="E205" s="91" t="s">
        <v>341</v>
      </c>
      <c r="F205" s="88">
        <v>387019.05</v>
      </c>
      <c r="G205" s="96" t="s">
        <v>101</v>
      </c>
      <c r="H205" s="72" t="s">
        <v>123</v>
      </c>
      <c r="I205" s="91">
        <v>33</v>
      </c>
      <c r="J205" s="91" t="str">
        <f>LEFT(empreend_Fehidro[[#This Row],[suBpdc classifc]],1)</f>
        <v>3</v>
      </c>
      <c r="K205" s="140" t="str" cm="1">
        <f t="array" ref="K205">IF(empreend_Fehidro[[#This Row],[Devolvido?]] = "Não", _xlfn.XLOOKUP(empreend_Fehidro[[#This Row],[UGRHI]] &amp; empreend_Fehidro[[#This Row],[PDC class]], PAPI!A:A &amp; PAPI!B:B,PAPI!C:C, " PDC não prioritário no PAPI"), "n/a")</f>
        <v>Prioritário</v>
      </c>
      <c r="L205" s="289" t="s">
        <v>95</v>
      </c>
    </row>
    <row r="206" spans="1:12" s="141" customFormat="1" ht="11.25" customHeight="1">
      <c r="A206" s="137">
        <f>VLOOKUP(E206,Dim_Colegiado[],2,FALSE)</f>
        <v>22</v>
      </c>
      <c r="B206" s="138" t="str">
        <f t="shared" si="3"/>
        <v>2020</v>
      </c>
      <c r="C206" s="139" t="s">
        <v>346</v>
      </c>
      <c r="D206" s="95"/>
      <c r="E206" s="95" t="s">
        <v>341</v>
      </c>
      <c r="F206" s="92">
        <v>338030.38</v>
      </c>
      <c r="G206" s="96" t="s">
        <v>101</v>
      </c>
      <c r="H206" s="72" t="s">
        <v>123</v>
      </c>
      <c r="I206" s="91">
        <v>34</v>
      </c>
      <c r="J206" s="91" t="str">
        <f>LEFT(empreend_Fehidro[[#This Row],[suBpdc classifc]],1)</f>
        <v>3</v>
      </c>
      <c r="K206" s="140" t="str" cm="1">
        <f t="array" ref="K206">IF(empreend_Fehidro[[#This Row],[Devolvido?]] = "Não", _xlfn.XLOOKUP(empreend_Fehidro[[#This Row],[UGRHI]] &amp; empreend_Fehidro[[#This Row],[PDC class]], PAPI!A:A &amp; PAPI!B:B,PAPI!C:C, " PDC não prioritário no PAPI"), "n/a")</f>
        <v>Prioritário</v>
      </c>
      <c r="L206" s="289" t="s">
        <v>95</v>
      </c>
    </row>
    <row r="207" spans="1:12" s="141" customFormat="1">
      <c r="A207" s="142">
        <f>VLOOKUP(E207,Dim_Colegiado[],2,FALSE)</f>
        <v>22</v>
      </c>
      <c r="B207" s="143" t="str">
        <f t="shared" si="3"/>
        <v>2020</v>
      </c>
      <c r="C207" s="144" t="s">
        <v>347</v>
      </c>
      <c r="D207" s="91"/>
      <c r="E207" s="91" t="s">
        <v>341</v>
      </c>
      <c r="F207" s="88">
        <v>332509.84999999998</v>
      </c>
      <c r="G207" s="96" t="s">
        <v>101</v>
      </c>
      <c r="H207" s="72" t="s">
        <v>123</v>
      </c>
      <c r="I207" s="91">
        <v>34</v>
      </c>
      <c r="J207" s="91" t="str">
        <f>LEFT(empreend_Fehidro[[#This Row],[suBpdc classifc]],1)</f>
        <v>3</v>
      </c>
      <c r="K207" s="140" t="str" cm="1">
        <f t="array" ref="K207">IF(empreend_Fehidro[[#This Row],[Devolvido?]] = "Não", _xlfn.XLOOKUP(empreend_Fehidro[[#This Row],[UGRHI]] &amp; empreend_Fehidro[[#This Row],[PDC class]], PAPI!A:A &amp; PAPI!B:B,PAPI!C:C, " PDC não prioritário no PAPI"), "n/a")</f>
        <v>Prioritário</v>
      </c>
      <c r="L207" s="289" t="s">
        <v>95</v>
      </c>
    </row>
    <row r="208" spans="1:12">
      <c r="A208" s="137">
        <f>VLOOKUP(E208,Dim_Colegiado[],2,FALSE)</f>
        <v>22</v>
      </c>
      <c r="B208" s="138" t="str">
        <f t="shared" si="3"/>
        <v>2020</v>
      </c>
      <c r="C208" s="139" t="s">
        <v>348</v>
      </c>
      <c r="D208" s="95"/>
      <c r="E208" s="95" t="s">
        <v>341</v>
      </c>
      <c r="F208" s="92">
        <v>244472.12</v>
      </c>
      <c r="G208" s="96" t="s">
        <v>101</v>
      </c>
      <c r="H208" s="72" t="s">
        <v>123</v>
      </c>
      <c r="I208" s="91">
        <v>33</v>
      </c>
      <c r="J208" s="91" t="str">
        <f>LEFT(empreend_Fehidro[[#This Row],[suBpdc classifc]],1)</f>
        <v>3</v>
      </c>
      <c r="K208" s="140" t="str" cm="1">
        <f t="array" ref="K208">IF(empreend_Fehidro[[#This Row],[Devolvido?]] = "Não", _xlfn.XLOOKUP(empreend_Fehidro[[#This Row],[UGRHI]] &amp; empreend_Fehidro[[#This Row],[PDC class]], PAPI!A:A &amp; PAPI!B:B,PAPI!C:C, " PDC não prioritário no PAPI"), "n/a")</f>
        <v>Prioritário</v>
      </c>
      <c r="L208" s="289" t="s">
        <v>95</v>
      </c>
    </row>
    <row r="209" spans="1:12">
      <c r="A209" s="142">
        <f>VLOOKUP(E209,Dim_Colegiado[],2,FALSE)</f>
        <v>22</v>
      </c>
      <c r="B209" s="143" t="str">
        <f t="shared" si="3"/>
        <v>2020</v>
      </c>
      <c r="C209" s="144" t="s">
        <v>349</v>
      </c>
      <c r="D209" s="91"/>
      <c r="E209" s="91" t="s">
        <v>341</v>
      </c>
      <c r="F209" s="88">
        <v>195061.65</v>
      </c>
      <c r="G209" s="96" t="s">
        <v>101</v>
      </c>
      <c r="H209" s="72" t="s">
        <v>123</v>
      </c>
      <c r="I209" s="91">
        <v>42</v>
      </c>
      <c r="J209" s="91" t="str">
        <f>LEFT(empreend_Fehidro[[#This Row],[suBpdc classifc]],1)</f>
        <v>4</v>
      </c>
      <c r="K209" s="140" t="str" cm="1">
        <f t="array" ref="K209">IF(empreend_Fehidro[[#This Row],[Devolvido?]] = "Não", _xlfn.XLOOKUP(empreend_Fehidro[[#This Row],[UGRHI]] &amp; empreend_Fehidro[[#This Row],[PDC class]], PAPI!A:A &amp; PAPI!B:B,PAPI!C:C, " PDC não prioritário no PAPI"), "n/a")</f>
        <v>Prioritário</v>
      </c>
      <c r="L209" s="289" t="s">
        <v>95</v>
      </c>
    </row>
    <row r="210" spans="1:12">
      <c r="A210" s="142">
        <f>VLOOKUP(E210,Dim_Colegiado[],2,FALSE)</f>
        <v>2021</v>
      </c>
      <c r="B210" s="143" t="str">
        <f t="shared" si="3"/>
        <v>2020</v>
      </c>
      <c r="C210" s="144" t="s">
        <v>350</v>
      </c>
      <c r="D210" s="91"/>
      <c r="E210" s="91" t="s">
        <v>351</v>
      </c>
      <c r="F210" s="88">
        <v>1483986.15</v>
      </c>
      <c r="G210" s="96" t="s">
        <v>101</v>
      </c>
      <c r="H210" s="72" t="s">
        <v>123</v>
      </c>
      <c r="I210" s="91">
        <v>31</v>
      </c>
      <c r="J210" s="91" t="str">
        <f>LEFT(empreend_Fehidro[[#This Row],[suBpdc classifc]],1)</f>
        <v>3</v>
      </c>
      <c r="K210" s="140" t="str" cm="1">
        <f t="array" ref="K210">IF(empreend_Fehidro[[#This Row],[Devolvido?]] = "Não", _xlfn.XLOOKUP(empreend_Fehidro[[#This Row],[UGRHI]] &amp; empreend_Fehidro[[#This Row],[PDC class]], PAPI!A:A &amp; PAPI!B:B,PAPI!C:C, " PDC não prioritário no PAPI"), "n/a")</f>
        <v>Prioritário</v>
      </c>
      <c r="L210" s="289" t="s">
        <v>95</v>
      </c>
    </row>
    <row r="211" spans="1:12">
      <c r="A211" s="137">
        <f>VLOOKUP(E211,Dim_Colegiado[],2,FALSE)</f>
        <v>2021</v>
      </c>
      <c r="B211" s="138" t="str">
        <f t="shared" si="3"/>
        <v>2020</v>
      </c>
      <c r="C211" s="139" t="s">
        <v>352</v>
      </c>
      <c r="D211" s="95"/>
      <c r="E211" s="95" t="s">
        <v>351</v>
      </c>
      <c r="F211" s="92">
        <v>551474.42000000004</v>
      </c>
      <c r="G211" s="96" t="s">
        <v>101</v>
      </c>
      <c r="H211" s="72" t="s">
        <v>123</v>
      </c>
      <c r="I211" s="91">
        <v>34</v>
      </c>
      <c r="J211" s="91" t="str">
        <f>LEFT(empreend_Fehidro[[#This Row],[suBpdc classifc]],1)</f>
        <v>3</v>
      </c>
      <c r="K211" s="140" t="str" cm="1">
        <f t="array" ref="K211">IF(empreend_Fehidro[[#This Row],[Devolvido?]] = "Não", _xlfn.XLOOKUP(empreend_Fehidro[[#This Row],[UGRHI]] &amp; empreend_Fehidro[[#This Row],[PDC class]], PAPI!A:A &amp; PAPI!B:B,PAPI!C:C, " PDC não prioritário no PAPI"), "n/a")</f>
        <v>Prioritário</v>
      </c>
      <c r="L211" s="289" t="s">
        <v>95</v>
      </c>
    </row>
    <row r="212" spans="1:12">
      <c r="A212" s="142">
        <f>VLOOKUP(E212,Dim_Colegiado[],2,FALSE)</f>
        <v>2021</v>
      </c>
      <c r="B212" s="143" t="str">
        <f t="shared" si="3"/>
        <v>2020</v>
      </c>
      <c r="C212" s="144" t="s">
        <v>353</v>
      </c>
      <c r="D212" s="91"/>
      <c r="E212" s="91" t="s">
        <v>351</v>
      </c>
      <c r="F212" s="88">
        <v>504414.64</v>
      </c>
      <c r="G212" s="96" t="s">
        <v>101</v>
      </c>
      <c r="H212" s="72" t="s">
        <v>123</v>
      </c>
      <c r="I212" s="91">
        <v>31</v>
      </c>
      <c r="J212" s="91" t="str">
        <f>LEFT(empreend_Fehidro[[#This Row],[suBpdc classifc]],1)</f>
        <v>3</v>
      </c>
      <c r="K212" s="140" t="str" cm="1">
        <f t="array" ref="K212">IF(empreend_Fehidro[[#This Row],[Devolvido?]] = "Não", _xlfn.XLOOKUP(empreend_Fehidro[[#This Row],[UGRHI]] &amp; empreend_Fehidro[[#This Row],[PDC class]], PAPI!A:A &amp; PAPI!B:B,PAPI!C:C, " PDC não prioritário no PAPI"), "n/a")</f>
        <v>Prioritário</v>
      </c>
      <c r="L212" s="289" t="s">
        <v>95</v>
      </c>
    </row>
    <row r="213" spans="1:12">
      <c r="A213" s="137">
        <f>VLOOKUP(E213,Dim_Colegiado[],2,FALSE)</f>
        <v>2021</v>
      </c>
      <c r="B213" s="138" t="str">
        <f t="shared" si="3"/>
        <v>2020</v>
      </c>
      <c r="C213" s="139" t="s">
        <v>354</v>
      </c>
      <c r="D213" s="95"/>
      <c r="E213" s="95" t="s">
        <v>351</v>
      </c>
      <c r="F213" s="92">
        <v>496094.1</v>
      </c>
      <c r="G213" s="96" t="s">
        <v>101</v>
      </c>
      <c r="H213" s="72" t="s">
        <v>123</v>
      </c>
      <c r="I213" s="91">
        <v>33</v>
      </c>
      <c r="J213" s="91" t="str">
        <f>LEFT(empreend_Fehidro[[#This Row],[suBpdc classifc]],1)</f>
        <v>3</v>
      </c>
      <c r="K213" s="140" t="str" cm="1">
        <f t="array" ref="K213">IF(empreend_Fehidro[[#This Row],[Devolvido?]] = "Não", _xlfn.XLOOKUP(empreend_Fehidro[[#This Row],[UGRHI]] &amp; empreend_Fehidro[[#This Row],[PDC class]], PAPI!A:A &amp; PAPI!B:B,PAPI!C:C, " PDC não prioritário no PAPI"), "n/a")</f>
        <v>Prioritário</v>
      </c>
      <c r="L213" s="289" t="s">
        <v>95</v>
      </c>
    </row>
    <row r="214" spans="1:12">
      <c r="A214" s="142">
        <f>VLOOKUP(E214,Dim_Colegiado[],2,FALSE)</f>
        <v>2021</v>
      </c>
      <c r="B214" s="143" t="str">
        <f t="shared" si="3"/>
        <v>2020</v>
      </c>
      <c r="C214" s="144" t="s">
        <v>355</v>
      </c>
      <c r="D214" s="91"/>
      <c r="E214" s="91" t="s">
        <v>351</v>
      </c>
      <c r="F214" s="88">
        <v>301640.73</v>
      </c>
      <c r="G214" s="96" t="s">
        <v>101</v>
      </c>
      <c r="H214" s="72" t="s">
        <v>123</v>
      </c>
      <c r="I214" s="91">
        <v>51</v>
      </c>
      <c r="J214" s="91" t="str">
        <f>LEFT(empreend_Fehidro[[#This Row],[suBpdc classifc]],1)</f>
        <v>5</v>
      </c>
      <c r="K214" s="140" t="str" cm="1">
        <f t="array" ref="K214">IF(empreend_Fehidro[[#This Row],[Devolvido?]] = "Não", _xlfn.XLOOKUP(empreend_Fehidro[[#This Row],[UGRHI]] &amp; empreend_Fehidro[[#This Row],[PDC class]], PAPI!A:A &amp; PAPI!B:B,PAPI!C:C, " PDC não prioritário no PAPI"), "n/a")</f>
        <v>Prioritário</v>
      </c>
      <c r="L214" s="289" t="s">
        <v>95</v>
      </c>
    </row>
    <row r="215" spans="1:12">
      <c r="A215" s="137">
        <f>VLOOKUP(E215,Dim_Colegiado[],2,FALSE)</f>
        <v>2021</v>
      </c>
      <c r="B215" s="138" t="str">
        <f t="shared" si="3"/>
        <v>2020</v>
      </c>
      <c r="C215" s="139" t="s">
        <v>356</v>
      </c>
      <c r="D215" s="95"/>
      <c r="E215" s="95" t="s">
        <v>351</v>
      </c>
      <c r="F215" s="92">
        <v>246483.13</v>
      </c>
      <c r="G215" s="96" t="s">
        <v>101</v>
      </c>
      <c r="H215" s="72" t="s">
        <v>123</v>
      </c>
      <c r="I215" s="91">
        <v>31</v>
      </c>
      <c r="J215" s="91" t="str">
        <f>LEFT(empreend_Fehidro[[#This Row],[suBpdc classifc]],1)</f>
        <v>3</v>
      </c>
      <c r="K215" s="140" t="str" cm="1">
        <f t="array" ref="K215">IF(empreend_Fehidro[[#This Row],[Devolvido?]] = "Não", _xlfn.XLOOKUP(empreend_Fehidro[[#This Row],[UGRHI]] &amp; empreend_Fehidro[[#This Row],[PDC class]], PAPI!A:A &amp; PAPI!B:B,PAPI!C:C, " PDC não prioritário no PAPI"), "n/a")</f>
        <v>Prioritário</v>
      </c>
      <c r="L215" s="289" t="s">
        <v>95</v>
      </c>
    </row>
    <row r="216" spans="1:12">
      <c r="A216" s="142">
        <f>VLOOKUP(E216,Dim_Colegiado[],2,FALSE)</f>
        <v>2021</v>
      </c>
      <c r="B216" s="143" t="str">
        <f t="shared" si="3"/>
        <v>2020</v>
      </c>
      <c r="C216" s="144" t="s">
        <v>357</v>
      </c>
      <c r="D216" s="91"/>
      <c r="E216" s="91" t="s">
        <v>351</v>
      </c>
      <c r="F216" s="88">
        <v>159699.20000000001</v>
      </c>
      <c r="G216" s="96" t="s">
        <v>101</v>
      </c>
      <c r="H216" s="72" t="s">
        <v>123</v>
      </c>
      <c r="I216" s="91">
        <v>51</v>
      </c>
      <c r="J216" s="91" t="str">
        <f>LEFT(empreend_Fehidro[[#This Row],[suBpdc classifc]],1)</f>
        <v>5</v>
      </c>
      <c r="K216" s="140" t="str" cm="1">
        <f t="array" ref="K216">IF(empreend_Fehidro[[#This Row],[Devolvido?]] = "Não", _xlfn.XLOOKUP(empreend_Fehidro[[#This Row],[UGRHI]] &amp; empreend_Fehidro[[#This Row],[PDC class]], PAPI!A:A &amp; PAPI!B:B,PAPI!C:C, " PDC não prioritário no PAPI"), "n/a")</f>
        <v>Prioritário</v>
      </c>
      <c r="L216" s="289" t="s">
        <v>95</v>
      </c>
    </row>
    <row r="217" spans="1:12">
      <c r="A217" s="142">
        <f>VLOOKUP(E217,Dim_Colegiado[],2,FALSE)</f>
        <v>3</v>
      </c>
      <c r="B217" s="143" t="str">
        <f t="shared" si="3"/>
        <v>2020</v>
      </c>
      <c r="C217" s="144" t="s">
        <v>358</v>
      </c>
      <c r="D217" s="91" t="s">
        <v>359</v>
      </c>
      <c r="E217" s="91" t="s">
        <v>133</v>
      </c>
      <c r="F217" s="88">
        <v>150000</v>
      </c>
      <c r="G217" s="97" t="s">
        <v>98</v>
      </c>
      <c r="H217" s="91" t="s">
        <v>360</v>
      </c>
      <c r="I217" s="91" t="s">
        <v>361</v>
      </c>
      <c r="J217" s="91" t="str">
        <f>LEFT(empreend_Fehidro[[#This Row],[suBpdc classifc]],1)</f>
        <v/>
      </c>
      <c r="K217" s="140" t="str" cm="1">
        <f t="array" ref="K217">IF(empreend_Fehidro[[#This Row],[Devolvido?]] = "Não", _xlfn.XLOOKUP(empreend_Fehidro[[#This Row],[UGRHI]] &amp; empreend_Fehidro[[#This Row],[PDC class]], PAPI!A:A &amp; PAPI!B:B,PAPI!C:C, " PDC não prioritário no PAPI"), "n/a")</f>
        <v>n/a</v>
      </c>
      <c r="L217" s="289"/>
    </row>
    <row r="218" spans="1:12">
      <c r="A218" s="137">
        <f>VLOOKUP(E218,Dim_Colegiado[],2,FALSE)</f>
        <v>4</v>
      </c>
      <c r="B218" s="138" t="str">
        <f t="shared" si="3"/>
        <v>2020</v>
      </c>
      <c r="C218" s="139" t="s">
        <v>362</v>
      </c>
      <c r="D218" s="95" t="s">
        <v>359</v>
      </c>
      <c r="E218" s="95" t="s">
        <v>137</v>
      </c>
      <c r="F218" s="92">
        <v>100474.64</v>
      </c>
      <c r="G218" s="97" t="s">
        <v>98</v>
      </c>
      <c r="H218" s="95" t="s">
        <v>363</v>
      </c>
      <c r="I218" s="91" t="s">
        <v>361</v>
      </c>
      <c r="J218" s="91" t="str">
        <f>LEFT(empreend_Fehidro[[#This Row],[suBpdc classifc]],1)</f>
        <v/>
      </c>
      <c r="K218" s="140" t="str" cm="1">
        <f t="array" ref="K218">IF(empreend_Fehidro[[#This Row],[Devolvido?]] = "Não", _xlfn.XLOOKUP(empreend_Fehidro[[#This Row],[UGRHI]] &amp; empreend_Fehidro[[#This Row],[PDC class]], PAPI!A:A &amp; PAPI!B:B,PAPI!C:C, " PDC não prioritário no PAPI"), "n/a")</f>
        <v>n/a</v>
      </c>
      <c r="L218" s="289"/>
    </row>
    <row r="219" spans="1:12">
      <c r="A219" s="142">
        <f>VLOOKUP(E219,Dim_Colegiado[],2,FALSE)</f>
        <v>6</v>
      </c>
      <c r="B219" s="143" t="str">
        <f t="shared" si="3"/>
        <v>2020</v>
      </c>
      <c r="C219" s="144" t="s">
        <v>179</v>
      </c>
      <c r="D219" s="91" t="s">
        <v>359</v>
      </c>
      <c r="E219" s="91" t="s">
        <v>166</v>
      </c>
      <c r="F219" s="88">
        <v>1672330.51</v>
      </c>
      <c r="G219" s="97" t="s">
        <v>98</v>
      </c>
      <c r="H219" s="91" t="s">
        <v>364</v>
      </c>
      <c r="I219" s="91" t="s">
        <v>361</v>
      </c>
      <c r="J219" s="91" t="str">
        <f>LEFT(empreend_Fehidro[[#This Row],[suBpdc classifc]],1)</f>
        <v/>
      </c>
      <c r="K219" s="140" t="str" cm="1">
        <f t="array" ref="K219">IF(empreend_Fehidro[[#This Row],[Devolvido?]] = "Não", _xlfn.XLOOKUP(empreend_Fehidro[[#This Row],[UGRHI]] &amp; empreend_Fehidro[[#This Row],[PDC class]], PAPI!A:A &amp; PAPI!B:B,PAPI!C:C, " PDC não prioritário no PAPI"), "n/a")</f>
        <v>n/a</v>
      </c>
      <c r="L219" s="289"/>
    </row>
    <row r="220" spans="1:12">
      <c r="A220" s="137">
        <f>VLOOKUP(E220,Dim_Colegiado[],2,FALSE)</f>
        <v>6</v>
      </c>
      <c r="B220" s="138" t="str">
        <f t="shared" si="3"/>
        <v>2020</v>
      </c>
      <c r="C220" s="139" t="s">
        <v>177</v>
      </c>
      <c r="D220" s="95" t="s">
        <v>359</v>
      </c>
      <c r="E220" s="95" t="s">
        <v>166</v>
      </c>
      <c r="F220" s="92">
        <v>1895196.6</v>
      </c>
      <c r="G220" s="97" t="s">
        <v>98</v>
      </c>
      <c r="H220" s="95" t="s">
        <v>364</v>
      </c>
      <c r="I220" s="91" t="s">
        <v>361</v>
      </c>
      <c r="J220" s="91" t="str">
        <f>LEFT(empreend_Fehidro[[#This Row],[suBpdc classifc]],1)</f>
        <v/>
      </c>
      <c r="K220" s="140" t="str" cm="1">
        <f t="array" ref="K220">IF(empreend_Fehidro[[#This Row],[Devolvido?]] = "Não", _xlfn.XLOOKUP(empreend_Fehidro[[#This Row],[UGRHI]] &amp; empreend_Fehidro[[#This Row],[PDC class]], PAPI!A:A &amp; PAPI!B:B,PAPI!C:C, " PDC não prioritário no PAPI"), "n/a")</f>
        <v>n/a</v>
      </c>
      <c r="L220" s="290"/>
    </row>
    <row r="221" spans="1:12">
      <c r="A221" s="142">
        <f>VLOOKUP(E221,Dim_Colegiado[],2,FALSE)</f>
        <v>7</v>
      </c>
      <c r="B221" s="143" t="str">
        <f t="shared" si="3"/>
        <v>2020</v>
      </c>
      <c r="C221" s="144" t="s">
        <v>365</v>
      </c>
      <c r="D221" s="91" t="s">
        <v>359</v>
      </c>
      <c r="E221" s="91" t="s">
        <v>196</v>
      </c>
      <c r="F221" s="88">
        <v>123216.25</v>
      </c>
      <c r="G221" s="97" t="s">
        <v>98</v>
      </c>
      <c r="H221" s="91" t="s">
        <v>363</v>
      </c>
      <c r="I221" s="91" t="s">
        <v>361</v>
      </c>
      <c r="J221" s="91" t="str">
        <f>LEFT(empreend_Fehidro[[#This Row],[suBpdc classifc]],1)</f>
        <v/>
      </c>
      <c r="K221" s="140" t="str" cm="1">
        <f t="array" ref="K221">IF(empreend_Fehidro[[#This Row],[Devolvido?]] = "Não", _xlfn.XLOOKUP(empreend_Fehidro[[#This Row],[UGRHI]] &amp; empreend_Fehidro[[#This Row],[PDC class]], PAPI!A:A &amp; PAPI!B:B,PAPI!C:C, " PDC não prioritário no PAPI"), "n/a")</f>
        <v>n/a</v>
      </c>
      <c r="L221" s="289"/>
    </row>
    <row r="222" spans="1:12">
      <c r="A222" s="137">
        <f>VLOOKUP(E222,Dim_Colegiado[],2,FALSE)</f>
        <v>7</v>
      </c>
      <c r="B222" s="138" t="str">
        <f t="shared" si="3"/>
        <v>2020</v>
      </c>
      <c r="C222" s="139" t="s">
        <v>366</v>
      </c>
      <c r="D222" s="95" t="s">
        <v>359</v>
      </c>
      <c r="E222" s="95" t="s">
        <v>196</v>
      </c>
      <c r="F222" s="92">
        <v>148300</v>
      </c>
      <c r="G222" s="97" t="s">
        <v>98</v>
      </c>
      <c r="H222" s="95" t="s">
        <v>363</v>
      </c>
      <c r="I222" s="91" t="s">
        <v>361</v>
      </c>
      <c r="J222" s="91" t="str">
        <f>LEFT(empreend_Fehidro[[#This Row],[suBpdc classifc]],1)</f>
        <v/>
      </c>
      <c r="K222" s="140" t="str" cm="1">
        <f t="array" ref="K222">IF(empreend_Fehidro[[#This Row],[Devolvido?]] = "Não", _xlfn.XLOOKUP(empreend_Fehidro[[#This Row],[UGRHI]] &amp; empreend_Fehidro[[#This Row],[PDC class]], PAPI!A:A &amp; PAPI!B:B,PAPI!C:C, " PDC não prioritário no PAPI"), "n/a")</f>
        <v>n/a</v>
      </c>
      <c r="L222" s="290"/>
    </row>
    <row r="223" spans="1:12">
      <c r="A223" s="142">
        <f>VLOOKUP(E223,Dim_Colegiado[],2,FALSE)</f>
        <v>8</v>
      </c>
      <c r="B223" s="143" t="str">
        <f t="shared" si="3"/>
        <v>2020</v>
      </c>
      <c r="C223" s="144" t="s">
        <v>367</v>
      </c>
      <c r="D223" s="91" t="s">
        <v>359</v>
      </c>
      <c r="E223" s="91" t="s">
        <v>203</v>
      </c>
      <c r="F223" s="88">
        <v>138096</v>
      </c>
      <c r="G223" s="97" t="s">
        <v>98</v>
      </c>
      <c r="H223" s="91" t="s">
        <v>363</v>
      </c>
      <c r="I223" s="91" t="s">
        <v>361</v>
      </c>
      <c r="J223" s="91" t="str">
        <f>LEFT(empreend_Fehidro[[#This Row],[suBpdc classifc]],1)</f>
        <v/>
      </c>
      <c r="K223" s="140" t="str" cm="1">
        <f t="array" ref="K223">IF(empreend_Fehidro[[#This Row],[Devolvido?]] = "Não", _xlfn.XLOOKUP(empreend_Fehidro[[#This Row],[UGRHI]] &amp; empreend_Fehidro[[#This Row],[PDC class]], PAPI!A:A &amp; PAPI!B:B,PAPI!C:C, " PDC não prioritário no PAPI"), "n/a")</f>
        <v>n/a</v>
      </c>
      <c r="L223" s="289"/>
    </row>
    <row r="224" spans="1:12">
      <c r="A224" s="137">
        <f>VLOOKUP(E224,Dim_Colegiado[],2,FALSE)</f>
        <v>8</v>
      </c>
      <c r="B224" s="138" t="str">
        <f t="shared" si="3"/>
        <v>2020</v>
      </c>
      <c r="C224" s="139" t="s">
        <v>368</v>
      </c>
      <c r="D224" s="95" t="s">
        <v>359</v>
      </c>
      <c r="E224" s="95" t="s">
        <v>203</v>
      </c>
      <c r="F224" s="92">
        <v>100000</v>
      </c>
      <c r="G224" s="97" t="s">
        <v>98</v>
      </c>
      <c r="H224" s="95" t="s">
        <v>363</v>
      </c>
      <c r="I224" s="91" t="s">
        <v>361</v>
      </c>
      <c r="J224" s="91" t="str">
        <f>LEFT(empreend_Fehidro[[#This Row],[suBpdc classifc]],1)</f>
        <v/>
      </c>
      <c r="K224" s="140" t="str" cm="1">
        <f t="array" ref="K224">IF(empreend_Fehidro[[#This Row],[Devolvido?]] = "Não", _xlfn.XLOOKUP(empreend_Fehidro[[#This Row],[UGRHI]] &amp; empreend_Fehidro[[#This Row],[PDC class]], PAPI!A:A &amp; PAPI!B:B,PAPI!C:C, " PDC não prioritário no PAPI"), "n/a")</f>
        <v>n/a</v>
      </c>
      <c r="L224" s="290"/>
    </row>
    <row r="225" spans="1:12" s="141" customFormat="1">
      <c r="A225" s="142">
        <f>VLOOKUP(E225,Dim_Colegiado[],2,FALSE)</f>
        <v>11</v>
      </c>
      <c r="B225" s="143" t="str">
        <f t="shared" si="3"/>
        <v>2020</v>
      </c>
      <c r="C225" s="144" t="s">
        <v>264</v>
      </c>
      <c r="D225" s="91" t="s">
        <v>369</v>
      </c>
      <c r="E225" s="91" t="s">
        <v>245</v>
      </c>
      <c r="F225" s="88">
        <v>180572.42</v>
      </c>
      <c r="G225" s="97" t="s">
        <v>98</v>
      </c>
      <c r="H225" s="91" t="s">
        <v>364</v>
      </c>
      <c r="I225" s="91" t="s">
        <v>361</v>
      </c>
      <c r="J225" s="91" t="str">
        <f>LEFT(empreend_Fehidro[[#This Row],[suBpdc classifc]],1)</f>
        <v/>
      </c>
      <c r="K225" s="140" t="str" cm="1">
        <f t="array" ref="K225">IF(empreend_Fehidro[[#This Row],[Devolvido?]] = "Não", _xlfn.XLOOKUP(empreend_Fehidro[[#This Row],[UGRHI]] &amp; empreend_Fehidro[[#This Row],[PDC class]], PAPI!A:A &amp; PAPI!B:B,PAPI!C:C, " PDC não prioritário no PAPI"), "n/a")</f>
        <v>n/a</v>
      </c>
      <c r="L225" s="289"/>
    </row>
    <row r="226" spans="1:12" s="141" customFormat="1">
      <c r="A226" s="137">
        <f>VLOOKUP(E226,Dim_Colegiado[],2,FALSE)</f>
        <v>11</v>
      </c>
      <c r="B226" s="138" t="str">
        <f t="shared" si="3"/>
        <v>2020</v>
      </c>
      <c r="C226" s="139" t="s">
        <v>262</v>
      </c>
      <c r="D226" s="95" t="s">
        <v>359</v>
      </c>
      <c r="E226" s="95" t="s">
        <v>245</v>
      </c>
      <c r="F226" s="92">
        <v>195000</v>
      </c>
      <c r="G226" s="97" t="s">
        <v>98</v>
      </c>
      <c r="H226" s="95" t="s">
        <v>364</v>
      </c>
      <c r="I226" s="91" t="s">
        <v>361</v>
      </c>
      <c r="J226" s="91" t="str">
        <f>LEFT(empreend_Fehidro[[#This Row],[suBpdc classifc]],1)</f>
        <v/>
      </c>
      <c r="K226" s="140" t="str" cm="1">
        <f t="array" ref="K226">IF(empreend_Fehidro[[#This Row],[Devolvido?]] = "Não", _xlfn.XLOOKUP(empreend_Fehidro[[#This Row],[UGRHI]] &amp; empreend_Fehidro[[#This Row],[PDC class]], PAPI!A:A &amp; PAPI!B:B,PAPI!C:C, " PDC não prioritário no PAPI"), "n/a")</f>
        <v>n/a</v>
      </c>
      <c r="L226" s="290"/>
    </row>
    <row r="227" spans="1:12" s="141" customFormat="1">
      <c r="A227" s="142">
        <f>VLOOKUP(E227,Dim_Colegiado[],2,FALSE)</f>
        <v>11</v>
      </c>
      <c r="B227" s="143" t="str">
        <f t="shared" si="3"/>
        <v>2020</v>
      </c>
      <c r="C227" s="144" t="s">
        <v>263</v>
      </c>
      <c r="D227" s="91" t="s">
        <v>369</v>
      </c>
      <c r="E227" s="91" t="s">
        <v>245</v>
      </c>
      <c r="F227" s="88">
        <v>186200</v>
      </c>
      <c r="G227" s="97" t="s">
        <v>98</v>
      </c>
      <c r="H227" s="91" t="s">
        <v>364</v>
      </c>
      <c r="I227" s="91" t="s">
        <v>361</v>
      </c>
      <c r="J227" s="91" t="str">
        <f>LEFT(empreend_Fehidro[[#This Row],[suBpdc classifc]],1)</f>
        <v/>
      </c>
      <c r="K227" s="140" t="str" cm="1">
        <f t="array" ref="K227">IF(empreend_Fehidro[[#This Row],[Devolvido?]] = "Não", _xlfn.XLOOKUP(empreend_Fehidro[[#This Row],[UGRHI]] &amp; empreend_Fehidro[[#This Row],[PDC class]], PAPI!A:A &amp; PAPI!B:B,PAPI!C:C, " PDC não prioritário no PAPI"), "n/a")</f>
        <v>n/a</v>
      </c>
      <c r="L227" s="289"/>
    </row>
    <row r="228" spans="1:12" s="141" customFormat="1">
      <c r="A228" s="137">
        <f>VLOOKUP(E228,Dim_Colegiado[],2,FALSE)</f>
        <v>13</v>
      </c>
      <c r="B228" s="138" t="str">
        <f t="shared" si="3"/>
        <v>2020</v>
      </c>
      <c r="C228" s="139" t="s">
        <v>370</v>
      </c>
      <c r="D228" s="95" t="s">
        <v>359</v>
      </c>
      <c r="E228" s="95" t="s">
        <v>273</v>
      </c>
      <c r="F228" s="92">
        <v>103692.3</v>
      </c>
      <c r="G228" s="97" t="s">
        <v>98</v>
      </c>
      <c r="H228" s="95" t="s">
        <v>363</v>
      </c>
      <c r="I228" s="91" t="s">
        <v>361</v>
      </c>
      <c r="J228" s="91" t="str">
        <f>LEFT(empreend_Fehidro[[#This Row],[suBpdc classifc]],1)</f>
        <v/>
      </c>
      <c r="K228" s="140" t="str" cm="1">
        <f t="array" ref="K228">IF(empreend_Fehidro[[#This Row],[Devolvido?]] = "Não", _xlfn.XLOOKUP(empreend_Fehidro[[#This Row],[UGRHI]] &amp; empreend_Fehidro[[#This Row],[PDC class]], PAPI!A:A &amp; PAPI!B:B,PAPI!C:C, " PDC não prioritário no PAPI"), "n/a")</f>
        <v>n/a</v>
      </c>
      <c r="L228" s="290"/>
    </row>
    <row r="229" spans="1:12" s="141" customFormat="1">
      <c r="A229" s="142">
        <f>VLOOKUP(E229,Dim_Colegiado[],2,FALSE)</f>
        <v>13</v>
      </c>
      <c r="B229" s="143" t="str">
        <f t="shared" si="3"/>
        <v>2020</v>
      </c>
      <c r="C229" s="144" t="s">
        <v>371</v>
      </c>
      <c r="D229" s="91" t="s">
        <v>359</v>
      </c>
      <c r="E229" s="91" t="s">
        <v>273</v>
      </c>
      <c r="F229" s="88">
        <v>204022</v>
      </c>
      <c r="G229" s="97" t="s">
        <v>98</v>
      </c>
      <c r="H229" s="91" t="s">
        <v>372</v>
      </c>
      <c r="I229" s="91" t="s">
        <v>361</v>
      </c>
      <c r="J229" s="91" t="str">
        <f>LEFT(empreend_Fehidro[[#This Row],[suBpdc classifc]],1)</f>
        <v/>
      </c>
      <c r="K229" s="140" t="str" cm="1">
        <f t="array" ref="K229">IF(empreend_Fehidro[[#This Row],[Devolvido?]] = "Não", _xlfn.XLOOKUP(empreend_Fehidro[[#This Row],[UGRHI]] &amp; empreend_Fehidro[[#This Row],[PDC class]], PAPI!A:A &amp; PAPI!B:B,PAPI!C:C, " PDC não prioritário no PAPI"), "n/a")</f>
        <v>n/a</v>
      </c>
      <c r="L229" s="289"/>
    </row>
    <row r="230" spans="1:12">
      <c r="A230" s="137">
        <f>VLOOKUP(E230,Dim_Colegiado[],2,FALSE)</f>
        <v>13</v>
      </c>
      <c r="B230" s="138" t="str">
        <f t="shared" si="3"/>
        <v>2020</v>
      </c>
      <c r="C230" s="139" t="s">
        <v>373</v>
      </c>
      <c r="D230" s="95" t="s">
        <v>359</v>
      </c>
      <c r="E230" s="95" t="s">
        <v>273</v>
      </c>
      <c r="F230" s="92">
        <v>86240</v>
      </c>
      <c r="G230" s="97" t="s">
        <v>98</v>
      </c>
      <c r="H230" s="95" t="s">
        <v>363</v>
      </c>
      <c r="I230" s="91" t="s">
        <v>361</v>
      </c>
      <c r="J230" s="91" t="str">
        <f>LEFT(empreend_Fehidro[[#This Row],[suBpdc classifc]],1)</f>
        <v/>
      </c>
      <c r="K230" s="140" t="str" cm="1">
        <f t="array" ref="K230">IF(empreend_Fehidro[[#This Row],[Devolvido?]] = "Não", _xlfn.XLOOKUP(empreend_Fehidro[[#This Row],[UGRHI]] &amp; empreend_Fehidro[[#This Row],[PDC class]], PAPI!A:A &amp; PAPI!B:B,PAPI!C:C, " PDC não prioritário no PAPI"), "n/a")</f>
        <v>n/a</v>
      </c>
      <c r="L230" s="290"/>
    </row>
    <row r="231" spans="1:12">
      <c r="A231" s="142">
        <f>VLOOKUP(E231,Dim_Colegiado[],2,FALSE)</f>
        <v>13</v>
      </c>
      <c r="B231" s="143" t="str">
        <f t="shared" si="3"/>
        <v>2020</v>
      </c>
      <c r="C231" s="144" t="s">
        <v>374</v>
      </c>
      <c r="D231" s="91" t="s">
        <v>359</v>
      </c>
      <c r="E231" s="91" t="s">
        <v>273</v>
      </c>
      <c r="F231" s="88">
        <v>56419.08</v>
      </c>
      <c r="G231" s="97" t="s">
        <v>98</v>
      </c>
      <c r="H231" s="91" t="s">
        <v>363</v>
      </c>
      <c r="I231" s="91" t="s">
        <v>361</v>
      </c>
      <c r="J231" s="91" t="str">
        <f>LEFT(empreend_Fehidro[[#This Row],[suBpdc classifc]],1)</f>
        <v/>
      </c>
      <c r="K231" s="140" t="str" cm="1">
        <f t="array" ref="K231">IF(empreend_Fehidro[[#This Row],[Devolvido?]] = "Não", _xlfn.XLOOKUP(empreend_Fehidro[[#This Row],[UGRHI]] &amp; empreend_Fehidro[[#This Row],[PDC class]], PAPI!A:A &amp; PAPI!B:B,PAPI!C:C, " PDC não prioritário no PAPI"), "n/a")</f>
        <v>n/a</v>
      </c>
      <c r="L231" s="289"/>
    </row>
    <row r="232" spans="1:12">
      <c r="A232" s="137">
        <f>VLOOKUP(E232,Dim_Colegiado[],2,FALSE)</f>
        <v>14</v>
      </c>
      <c r="B232" s="138" t="str">
        <f t="shared" si="3"/>
        <v>2020</v>
      </c>
      <c r="C232" s="139" t="s">
        <v>375</v>
      </c>
      <c r="D232" s="95" t="s">
        <v>359</v>
      </c>
      <c r="E232" s="95" t="s">
        <v>290</v>
      </c>
      <c r="F232" s="92">
        <v>94564.59</v>
      </c>
      <c r="G232" s="97" t="s">
        <v>98</v>
      </c>
      <c r="H232" s="95" t="s">
        <v>363</v>
      </c>
      <c r="I232" s="91" t="s">
        <v>361</v>
      </c>
      <c r="J232" s="91" t="str">
        <f>LEFT(empreend_Fehidro[[#This Row],[suBpdc classifc]],1)</f>
        <v/>
      </c>
      <c r="K232" s="140" t="str" cm="1">
        <f t="array" ref="K232">IF(empreend_Fehidro[[#This Row],[Devolvido?]] = "Não", _xlfn.XLOOKUP(empreend_Fehidro[[#This Row],[UGRHI]] &amp; empreend_Fehidro[[#This Row],[PDC class]], PAPI!A:A &amp; PAPI!B:B,PAPI!C:C, " PDC não prioritário no PAPI"), "n/a")</f>
        <v>n/a</v>
      </c>
      <c r="L232" s="290"/>
    </row>
    <row r="233" spans="1:12">
      <c r="A233" s="142">
        <f>VLOOKUP(E233,Dim_Colegiado[],2,FALSE)</f>
        <v>14</v>
      </c>
      <c r="B233" s="143" t="str">
        <f t="shared" si="3"/>
        <v>2020</v>
      </c>
      <c r="C233" s="144" t="s">
        <v>376</v>
      </c>
      <c r="D233" s="91" t="s">
        <v>359</v>
      </c>
      <c r="E233" s="91" t="s">
        <v>290</v>
      </c>
      <c r="F233" s="88">
        <v>200556.05</v>
      </c>
      <c r="G233" s="97" t="s">
        <v>98</v>
      </c>
      <c r="H233" s="91" t="s">
        <v>377</v>
      </c>
      <c r="I233" s="91" t="s">
        <v>361</v>
      </c>
      <c r="J233" s="91" t="str">
        <f>LEFT(empreend_Fehidro[[#This Row],[suBpdc classifc]],1)</f>
        <v/>
      </c>
      <c r="K233" s="140" t="str" cm="1">
        <f t="array" ref="K233">IF(empreend_Fehidro[[#This Row],[Devolvido?]] = "Não", _xlfn.XLOOKUP(empreend_Fehidro[[#This Row],[UGRHI]] &amp; empreend_Fehidro[[#This Row],[PDC class]], PAPI!A:A &amp; PAPI!B:B,PAPI!C:C, " PDC não prioritário no PAPI"), "n/a")</f>
        <v>n/a</v>
      </c>
      <c r="L233" s="289"/>
    </row>
    <row r="234" spans="1:12">
      <c r="A234" s="137">
        <f>VLOOKUP(E234,Dim_Colegiado[],2,FALSE)</f>
        <v>16</v>
      </c>
      <c r="B234" s="138" t="str">
        <f t="shared" si="3"/>
        <v>2020</v>
      </c>
      <c r="C234" s="139" t="s">
        <v>378</v>
      </c>
      <c r="D234" s="95" t="s">
        <v>359</v>
      </c>
      <c r="E234" s="95" t="s">
        <v>299</v>
      </c>
      <c r="F234" s="92">
        <v>173085.7</v>
      </c>
      <c r="G234" s="97" t="s">
        <v>98</v>
      </c>
      <c r="H234" s="95" t="s">
        <v>364</v>
      </c>
      <c r="I234" s="91" t="s">
        <v>361</v>
      </c>
      <c r="J234" s="91" t="str">
        <f>LEFT(empreend_Fehidro[[#This Row],[suBpdc classifc]],1)</f>
        <v/>
      </c>
      <c r="K234" s="140" t="str" cm="1">
        <f t="array" ref="K234">IF(empreend_Fehidro[[#This Row],[Devolvido?]] = "Não", _xlfn.XLOOKUP(empreend_Fehidro[[#This Row],[UGRHI]] &amp; empreend_Fehidro[[#This Row],[PDC class]], PAPI!A:A &amp; PAPI!B:B,PAPI!C:C, " PDC não prioritário no PAPI"), "n/a")</f>
        <v>n/a</v>
      </c>
      <c r="L234" s="290"/>
    </row>
    <row r="235" spans="1:12">
      <c r="A235" s="142">
        <f>VLOOKUP(E235,Dim_Colegiado[],2,FALSE)</f>
        <v>16</v>
      </c>
      <c r="B235" s="143" t="str">
        <f t="shared" si="3"/>
        <v>2020</v>
      </c>
      <c r="C235" s="144" t="s">
        <v>379</v>
      </c>
      <c r="D235" s="91" t="s">
        <v>359</v>
      </c>
      <c r="E235" s="91" t="s">
        <v>299</v>
      </c>
      <c r="F235" s="88">
        <v>150051.20000000001</v>
      </c>
      <c r="G235" s="97" t="s">
        <v>98</v>
      </c>
      <c r="H235" s="91" t="s">
        <v>364</v>
      </c>
      <c r="I235" s="91" t="s">
        <v>361</v>
      </c>
      <c r="J235" s="91" t="str">
        <f>LEFT(empreend_Fehidro[[#This Row],[suBpdc classifc]],1)</f>
        <v/>
      </c>
      <c r="K235" s="140" t="str" cm="1">
        <f t="array" ref="K235">IF(empreend_Fehidro[[#This Row],[Devolvido?]] = "Não", _xlfn.XLOOKUP(empreend_Fehidro[[#This Row],[UGRHI]] &amp; empreend_Fehidro[[#This Row],[PDC class]], PAPI!A:A &amp; PAPI!B:B,PAPI!C:C, " PDC não prioritário no PAPI"), "n/a")</f>
        <v>n/a</v>
      </c>
      <c r="L235" s="289"/>
    </row>
    <row r="236" spans="1:12">
      <c r="A236" s="137">
        <f>VLOOKUP(E236,Dim_Colegiado[],2,FALSE)</f>
        <v>17</v>
      </c>
      <c r="B236" s="138" t="str">
        <f t="shared" si="3"/>
        <v>2020</v>
      </c>
      <c r="C236" s="139" t="s">
        <v>380</v>
      </c>
      <c r="D236" s="95" t="s">
        <v>359</v>
      </c>
      <c r="E236" s="95" t="s">
        <v>310</v>
      </c>
      <c r="F236" s="92">
        <v>142424.60999999999</v>
      </c>
      <c r="G236" s="97" t="s">
        <v>98</v>
      </c>
      <c r="H236" s="95" t="s">
        <v>363</v>
      </c>
      <c r="I236" s="91" t="s">
        <v>361</v>
      </c>
      <c r="J236" s="91" t="str">
        <f>LEFT(empreend_Fehidro[[#This Row],[suBpdc classifc]],1)</f>
        <v/>
      </c>
      <c r="K236" s="140" t="str" cm="1">
        <f t="array" ref="K236">IF(empreend_Fehidro[[#This Row],[Devolvido?]] = "Não", _xlfn.XLOOKUP(empreend_Fehidro[[#This Row],[UGRHI]] &amp; empreend_Fehidro[[#This Row],[PDC class]], PAPI!A:A &amp; PAPI!B:B,PAPI!C:C, " PDC não prioritário no PAPI"), "n/a")</f>
        <v>n/a</v>
      </c>
      <c r="L236" s="290"/>
    </row>
    <row r="237" spans="1:12">
      <c r="A237" s="142">
        <f>VLOOKUP(E237,Dim_Colegiado[],2,FALSE)</f>
        <v>17</v>
      </c>
      <c r="B237" s="143" t="str">
        <f t="shared" si="3"/>
        <v>2020</v>
      </c>
      <c r="C237" s="144" t="s">
        <v>381</v>
      </c>
      <c r="D237" s="91" t="s">
        <v>359</v>
      </c>
      <c r="E237" s="91" t="s">
        <v>310</v>
      </c>
      <c r="F237" s="88">
        <v>133634.45000000001</v>
      </c>
      <c r="G237" s="97" t="s">
        <v>98</v>
      </c>
      <c r="H237" s="91" t="s">
        <v>363</v>
      </c>
      <c r="I237" s="91" t="s">
        <v>361</v>
      </c>
      <c r="J237" s="91" t="str">
        <f>LEFT(empreend_Fehidro[[#This Row],[suBpdc classifc]],1)</f>
        <v/>
      </c>
      <c r="K237" s="140" t="str" cm="1">
        <f t="array" ref="K237">IF(empreend_Fehidro[[#This Row],[Devolvido?]] = "Não", _xlfn.XLOOKUP(empreend_Fehidro[[#This Row],[UGRHI]] &amp; empreend_Fehidro[[#This Row],[PDC class]], PAPI!A:A &amp; PAPI!B:B,PAPI!C:C, " PDC não prioritário no PAPI"), "n/a")</f>
        <v>n/a</v>
      </c>
      <c r="L237" s="289"/>
    </row>
    <row r="238" spans="1:12">
      <c r="A238" s="137">
        <f>VLOOKUP(E238,Dim_Colegiado[],2,FALSE)</f>
        <v>19</v>
      </c>
      <c r="B238" s="138" t="str">
        <f t="shared" si="3"/>
        <v>2020</v>
      </c>
      <c r="C238" s="139" t="s">
        <v>382</v>
      </c>
      <c r="D238" s="95" t="s">
        <v>359</v>
      </c>
      <c r="E238" s="95" t="s">
        <v>321</v>
      </c>
      <c r="F238" s="92">
        <v>292098.40000000002</v>
      </c>
      <c r="G238" s="97" t="s">
        <v>98</v>
      </c>
      <c r="H238" s="95" t="s">
        <v>372</v>
      </c>
      <c r="I238" s="91" t="s">
        <v>361</v>
      </c>
      <c r="J238" s="91" t="str">
        <f>LEFT(empreend_Fehidro[[#This Row],[suBpdc classifc]],1)</f>
        <v/>
      </c>
      <c r="K238" s="140" t="str" cm="1">
        <f t="array" ref="K238">IF(empreend_Fehidro[[#This Row],[Devolvido?]] = "Não", _xlfn.XLOOKUP(empreend_Fehidro[[#This Row],[UGRHI]] &amp; empreend_Fehidro[[#This Row],[PDC class]], PAPI!A:A &amp; PAPI!B:B,PAPI!C:C, " PDC não prioritário no PAPI"), "n/a")</f>
        <v>n/a</v>
      </c>
      <c r="L238" s="290"/>
    </row>
    <row r="239" spans="1:12">
      <c r="A239" s="142">
        <f>VLOOKUP(E239,Dim_Colegiado[],2,FALSE)</f>
        <v>19</v>
      </c>
      <c r="B239" s="143" t="str">
        <f t="shared" si="3"/>
        <v>2020</v>
      </c>
      <c r="C239" s="144" t="s">
        <v>383</v>
      </c>
      <c r="D239" s="91" t="s">
        <v>359</v>
      </c>
      <c r="E239" s="91" t="s">
        <v>321</v>
      </c>
      <c r="F239" s="88">
        <v>464396.92</v>
      </c>
      <c r="G239" s="97" t="s">
        <v>98</v>
      </c>
      <c r="H239" s="91" t="s">
        <v>372</v>
      </c>
      <c r="I239" s="91" t="s">
        <v>361</v>
      </c>
      <c r="J239" s="91" t="str">
        <f>LEFT(empreend_Fehidro[[#This Row],[suBpdc classifc]],1)</f>
        <v/>
      </c>
      <c r="K239" s="140" t="str" cm="1">
        <f t="array" ref="K239">IF(empreend_Fehidro[[#This Row],[Devolvido?]] = "Não", _xlfn.XLOOKUP(empreend_Fehidro[[#This Row],[UGRHI]] &amp; empreend_Fehidro[[#This Row],[PDC class]], PAPI!A:A &amp; PAPI!B:B,PAPI!C:C, " PDC não prioritário no PAPI"), "n/a")</f>
        <v>n/a</v>
      </c>
      <c r="L239" s="289"/>
    </row>
    <row r="240" spans="1:12">
      <c r="A240" s="137">
        <f>VLOOKUP(E240,Dim_Colegiado[],2,FALSE)</f>
        <v>19</v>
      </c>
      <c r="B240" s="138" t="str">
        <f t="shared" si="3"/>
        <v>2020</v>
      </c>
      <c r="C240" s="139" t="s">
        <v>384</v>
      </c>
      <c r="D240" s="95" t="s">
        <v>359</v>
      </c>
      <c r="E240" s="95" t="s">
        <v>321</v>
      </c>
      <c r="F240" s="92">
        <v>600000</v>
      </c>
      <c r="G240" s="97" t="s">
        <v>98</v>
      </c>
      <c r="H240" s="95" t="s">
        <v>372</v>
      </c>
      <c r="I240" s="91" t="s">
        <v>361</v>
      </c>
      <c r="J240" s="91" t="str">
        <f>LEFT(empreend_Fehidro[[#This Row],[suBpdc classifc]],1)</f>
        <v/>
      </c>
      <c r="K240" s="140" t="str" cm="1">
        <f t="array" ref="K240">IF(empreend_Fehidro[[#This Row],[Devolvido?]] = "Não", _xlfn.XLOOKUP(empreend_Fehidro[[#This Row],[UGRHI]] &amp; empreend_Fehidro[[#This Row],[PDC class]], PAPI!A:A &amp; PAPI!B:B,PAPI!C:C, " PDC não prioritário no PAPI"), "n/a")</f>
        <v>n/a</v>
      </c>
      <c r="L240" s="290"/>
    </row>
    <row r="241" spans="1:12">
      <c r="A241" s="142">
        <f>VLOOKUP(E241,Dim_Colegiado[],2,FALSE)</f>
        <v>19</v>
      </c>
      <c r="B241" s="143" t="str">
        <f t="shared" si="3"/>
        <v>2020</v>
      </c>
      <c r="C241" s="144" t="s">
        <v>385</v>
      </c>
      <c r="D241" s="91" t="s">
        <v>359</v>
      </c>
      <c r="E241" s="91" t="s">
        <v>321</v>
      </c>
      <c r="F241" s="88">
        <v>435770.96</v>
      </c>
      <c r="G241" s="97" t="s">
        <v>98</v>
      </c>
      <c r="H241" s="91" t="s">
        <v>372</v>
      </c>
      <c r="I241" s="91" t="s">
        <v>361</v>
      </c>
      <c r="J241" s="91" t="str">
        <f>LEFT(empreend_Fehidro[[#This Row],[suBpdc classifc]],1)</f>
        <v/>
      </c>
      <c r="K241" s="140" t="str" cm="1">
        <f t="array" ref="K241">IF(empreend_Fehidro[[#This Row],[Devolvido?]] = "Não", _xlfn.XLOOKUP(empreend_Fehidro[[#This Row],[UGRHI]] &amp; empreend_Fehidro[[#This Row],[PDC class]], PAPI!A:A &amp; PAPI!B:B,PAPI!C:C, " PDC não prioritário no PAPI"), "n/a")</f>
        <v>n/a</v>
      </c>
      <c r="L241" s="289"/>
    </row>
    <row r="242" spans="1:12">
      <c r="A242" s="137">
        <f>VLOOKUP(E242,Dim_Colegiado[],2,FALSE)</f>
        <v>19</v>
      </c>
      <c r="B242" s="138" t="str">
        <f t="shared" si="3"/>
        <v>2020</v>
      </c>
      <c r="C242" s="139" t="s">
        <v>386</v>
      </c>
      <c r="D242" s="95" t="s">
        <v>359</v>
      </c>
      <c r="E242" s="95" t="s">
        <v>321</v>
      </c>
      <c r="F242" s="92">
        <v>242313.58</v>
      </c>
      <c r="G242" s="97" t="s">
        <v>98</v>
      </c>
      <c r="H242" s="95" t="s">
        <v>372</v>
      </c>
      <c r="I242" s="91" t="s">
        <v>361</v>
      </c>
      <c r="J242" s="91" t="str">
        <f>LEFT(empreend_Fehidro[[#This Row],[suBpdc classifc]],1)</f>
        <v/>
      </c>
      <c r="K242" s="140" t="str" cm="1">
        <f t="array" ref="K242">IF(empreend_Fehidro[[#This Row],[Devolvido?]] = "Não", _xlfn.XLOOKUP(empreend_Fehidro[[#This Row],[UGRHI]] &amp; empreend_Fehidro[[#This Row],[PDC class]], PAPI!A:A &amp; PAPI!B:B,PAPI!C:C, " PDC não prioritário no PAPI"), "n/a")</f>
        <v>n/a</v>
      </c>
      <c r="L242" s="290"/>
    </row>
    <row r="243" spans="1:12">
      <c r="A243" s="142">
        <f>VLOOKUP(E243,Dim_Colegiado[],2,FALSE)</f>
        <v>22</v>
      </c>
      <c r="B243" s="143" t="str">
        <f t="shared" si="3"/>
        <v>2020</v>
      </c>
      <c r="C243" s="144" t="s">
        <v>387</v>
      </c>
      <c r="D243" s="91" t="s">
        <v>359</v>
      </c>
      <c r="E243" s="91" t="s">
        <v>341</v>
      </c>
      <c r="F243" s="88">
        <v>90000</v>
      </c>
      <c r="G243" s="97" t="s">
        <v>98</v>
      </c>
      <c r="H243" s="91" t="s">
        <v>363</v>
      </c>
      <c r="I243" s="91" t="s">
        <v>361</v>
      </c>
      <c r="J243" s="91" t="str">
        <f>LEFT(empreend_Fehidro[[#This Row],[suBpdc classifc]],1)</f>
        <v/>
      </c>
      <c r="K243" s="140" t="str" cm="1">
        <f t="array" ref="K243">IF(empreend_Fehidro[[#This Row],[Devolvido?]] = "Não", _xlfn.XLOOKUP(empreend_Fehidro[[#This Row],[UGRHI]] &amp; empreend_Fehidro[[#This Row],[PDC class]], PAPI!A:A &amp; PAPI!B:B,PAPI!C:C, " PDC não prioritário no PAPI"), "n/a")</f>
        <v>n/a</v>
      </c>
      <c r="L243" s="289"/>
    </row>
    <row r="244" spans="1:12">
      <c r="A244" s="137">
        <f>VLOOKUP(E244,Dim_Colegiado[],2,FALSE)</f>
        <v>22</v>
      </c>
      <c r="B244" s="138" t="str">
        <f t="shared" si="3"/>
        <v>2020</v>
      </c>
      <c r="C244" s="139" t="s">
        <v>388</v>
      </c>
      <c r="D244" s="95" t="s">
        <v>359</v>
      </c>
      <c r="E244" s="95" t="s">
        <v>341</v>
      </c>
      <c r="F244" s="92">
        <v>70000</v>
      </c>
      <c r="G244" s="97" t="s">
        <v>98</v>
      </c>
      <c r="H244" s="95" t="s">
        <v>363</v>
      </c>
      <c r="I244" s="91" t="s">
        <v>361</v>
      </c>
      <c r="J244" s="91" t="str">
        <f>LEFT(empreend_Fehidro[[#This Row],[suBpdc classifc]],1)</f>
        <v/>
      </c>
      <c r="K244" s="140" t="str" cm="1">
        <f t="array" ref="K244">IF(empreend_Fehidro[[#This Row],[Devolvido?]] = "Não", _xlfn.XLOOKUP(empreend_Fehidro[[#This Row],[UGRHI]] &amp; empreend_Fehidro[[#This Row],[PDC class]], PAPI!A:A &amp; PAPI!B:B,PAPI!C:C, " PDC não prioritário no PAPI"), "n/a")</f>
        <v>n/a</v>
      </c>
      <c r="L244" s="290"/>
    </row>
    <row r="245" spans="1:12">
      <c r="A245" s="142">
        <f>VLOOKUP(E245,Dim_Colegiado[],2,FALSE)</f>
        <v>22</v>
      </c>
      <c r="B245" s="143" t="str">
        <f t="shared" si="3"/>
        <v>2020</v>
      </c>
      <c r="C245" s="144" t="s">
        <v>389</v>
      </c>
      <c r="D245" s="91" t="s">
        <v>359</v>
      </c>
      <c r="E245" s="91" t="s">
        <v>341</v>
      </c>
      <c r="F245" s="88">
        <v>90000</v>
      </c>
      <c r="G245" s="97" t="s">
        <v>98</v>
      </c>
      <c r="H245" s="91" t="s">
        <v>363</v>
      </c>
      <c r="I245" s="91" t="s">
        <v>361</v>
      </c>
      <c r="J245" s="91" t="str">
        <f>LEFT(empreend_Fehidro[[#This Row],[suBpdc classifc]],1)</f>
        <v/>
      </c>
      <c r="K245" s="140" t="str" cm="1">
        <f t="array" ref="K245">IF(empreend_Fehidro[[#This Row],[Devolvido?]] = "Não", _xlfn.XLOOKUP(empreend_Fehidro[[#This Row],[UGRHI]] &amp; empreend_Fehidro[[#This Row],[PDC class]], PAPI!A:A &amp; PAPI!B:B,PAPI!C:C, " PDC não prioritário no PAPI"), "n/a")</f>
        <v>n/a</v>
      </c>
      <c r="L245" s="289"/>
    </row>
    <row r="246" spans="1:12">
      <c r="A246" s="137">
        <f>VLOOKUP(E246,Dim_Colegiado[],2,FALSE)</f>
        <v>22</v>
      </c>
      <c r="B246" s="138" t="str">
        <f t="shared" si="3"/>
        <v>2020</v>
      </c>
      <c r="C246" s="139" t="s">
        <v>390</v>
      </c>
      <c r="D246" s="95" t="s">
        <v>359</v>
      </c>
      <c r="E246" s="95" t="s">
        <v>341</v>
      </c>
      <c r="F246" s="92">
        <v>104232.9</v>
      </c>
      <c r="G246" s="97" t="s">
        <v>98</v>
      </c>
      <c r="H246" s="95" t="s">
        <v>363</v>
      </c>
      <c r="I246" s="91" t="s">
        <v>361</v>
      </c>
      <c r="J246" s="91" t="str">
        <f>LEFT(empreend_Fehidro[[#This Row],[suBpdc classifc]],1)</f>
        <v/>
      </c>
      <c r="K246" s="140" t="str" cm="1">
        <f t="array" ref="K246">IF(empreend_Fehidro[[#This Row],[Devolvido?]] = "Não", _xlfn.XLOOKUP(empreend_Fehidro[[#This Row],[UGRHI]] &amp; empreend_Fehidro[[#This Row],[PDC class]], PAPI!A:A &amp; PAPI!B:B,PAPI!C:C, " PDC não prioritário no PAPI"), "n/a")</f>
        <v>n/a</v>
      </c>
      <c r="L246" s="290"/>
    </row>
    <row r="247" spans="1:12">
      <c r="A247" s="142">
        <f>VLOOKUP(E247,Dim_Colegiado[],2,FALSE)</f>
        <v>22</v>
      </c>
      <c r="B247" s="143" t="str">
        <f t="shared" si="3"/>
        <v>2020</v>
      </c>
      <c r="C247" s="144" t="s">
        <v>391</v>
      </c>
      <c r="D247" s="91" t="s">
        <v>359</v>
      </c>
      <c r="E247" s="91" t="s">
        <v>341</v>
      </c>
      <c r="F247" s="88">
        <v>62000</v>
      </c>
      <c r="G247" s="97" t="s">
        <v>98</v>
      </c>
      <c r="H247" s="91" t="s">
        <v>363</v>
      </c>
      <c r="I247" s="91" t="s">
        <v>361</v>
      </c>
      <c r="J247" s="91" t="str">
        <f>LEFT(empreend_Fehidro[[#This Row],[suBpdc classifc]],1)</f>
        <v/>
      </c>
      <c r="K247" s="140" t="str" cm="1">
        <f t="array" ref="K247">IF(empreend_Fehidro[[#This Row],[Devolvido?]] = "Não", _xlfn.XLOOKUP(empreend_Fehidro[[#This Row],[UGRHI]] &amp; empreend_Fehidro[[#This Row],[PDC class]], PAPI!A:A &amp; PAPI!B:B,PAPI!C:C, " PDC não prioritário no PAPI"), "n/a")</f>
        <v>n/a</v>
      </c>
      <c r="L247" s="289"/>
    </row>
    <row r="248" spans="1:12">
      <c r="A248" s="137">
        <f>VLOOKUP(E248,Dim_Colegiado[],2,FALSE)</f>
        <v>22</v>
      </c>
      <c r="B248" s="138" t="str">
        <f t="shared" si="3"/>
        <v>2020</v>
      </c>
      <c r="C248" s="139" t="s">
        <v>392</v>
      </c>
      <c r="D248" s="95" t="s">
        <v>359</v>
      </c>
      <c r="E248" s="95" t="s">
        <v>341</v>
      </c>
      <c r="F248" s="92">
        <v>64809.3</v>
      </c>
      <c r="G248" s="97" t="s">
        <v>98</v>
      </c>
      <c r="H248" s="95" t="s">
        <v>363</v>
      </c>
      <c r="I248" s="91" t="s">
        <v>361</v>
      </c>
      <c r="J248" s="91" t="str">
        <f>LEFT(empreend_Fehidro[[#This Row],[suBpdc classifc]],1)</f>
        <v/>
      </c>
      <c r="K248" s="140" t="str" cm="1">
        <f t="array" ref="K248">IF(empreend_Fehidro[[#This Row],[Devolvido?]] = "Não", _xlfn.XLOOKUP(empreend_Fehidro[[#This Row],[UGRHI]] &amp; empreend_Fehidro[[#This Row],[PDC class]], PAPI!A:A &amp; PAPI!B:B,PAPI!C:C, " PDC não prioritário no PAPI"), "n/a")</f>
        <v>n/a</v>
      </c>
      <c r="L248" s="290"/>
    </row>
    <row r="249" spans="1:12">
      <c r="A249" s="142">
        <f>VLOOKUP(E249,Dim_Colegiado[],2,FALSE)</f>
        <v>22</v>
      </c>
      <c r="B249" s="143" t="str">
        <f t="shared" si="3"/>
        <v>2020</v>
      </c>
      <c r="C249" s="144" t="s">
        <v>393</v>
      </c>
      <c r="D249" s="91" t="s">
        <v>359</v>
      </c>
      <c r="E249" s="91" t="s">
        <v>341</v>
      </c>
      <c r="F249" s="88">
        <v>102355.85</v>
      </c>
      <c r="G249" s="97" t="s">
        <v>98</v>
      </c>
      <c r="H249" s="91" t="s">
        <v>363</v>
      </c>
      <c r="I249" s="91" t="s">
        <v>361</v>
      </c>
      <c r="J249" s="91" t="str">
        <f>LEFT(empreend_Fehidro[[#This Row],[suBpdc classifc]],1)</f>
        <v/>
      </c>
      <c r="K249" s="140" t="str" cm="1">
        <f t="array" ref="K249">IF(empreend_Fehidro[[#This Row],[Devolvido?]] = "Não", _xlfn.XLOOKUP(empreend_Fehidro[[#This Row],[UGRHI]] &amp; empreend_Fehidro[[#This Row],[PDC class]], PAPI!A:A &amp; PAPI!B:B,PAPI!C:C, " PDC não prioritário no PAPI"), "n/a")</f>
        <v>n/a</v>
      </c>
      <c r="L249" s="289"/>
    </row>
    <row r="250" spans="1:12">
      <c r="A250" s="137">
        <f>VLOOKUP(E250,Dim_Colegiado[],2,FALSE)</f>
        <v>2021</v>
      </c>
      <c r="B250" s="138" t="str">
        <f t="shared" si="3"/>
        <v>2020</v>
      </c>
      <c r="C250" s="139" t="s">
        <v>394</v>
      </c>
      <c r="D250" s="95" t="s">
        <v>359</v>
      </c>
      <c r="E250" s="95" t="s">
        <v>351</v>
      </c>
      <c r="F250" s="92">
        <v>128576</v>
      </c>
      <c r="G250" s="97" t="s">
        <v>98</v>
      </c>
      <c r="H250" s="95" t="s">
        <v>363</v>
      </c>
      <c r="I250" s="91" t="s">
        <v>361</v>
      </c>
      <c r="J250" s="91" t="str">
        <f>LEFT(empreend_Fehidro[[#This Row],[suBpdc classifc]],1)</f>
        <v/>
      </c>
      <c r="K250" s="140" t="str" cm="1">
        <f t="array" ref="K250">IF(empreend_Fehidro[[#This Row],[Devolvido?]] = "Não", _xlfn.XLOOKUP(empreend_Fehidro[[#This Row],[UGRHI]] &amp; empreend_Fehidro[[#This Row],[PDC class]], PAPI!A:A &amp; PAPI!B:B,PAPI!C:C, " PDC não prioritário no PAPI"), "n/a")</f>
        <v>n/a</v>
      </c>
      <c r="L250" s="290"/>
    </row>
    <row r="251" spans="1:12">
      <c r="A251" s="142">
        <f>VLOOKUP(E251,Dim_Colegiado[],2,FALSE)</f>
        <v>2021</v>
      </c>
      <c r="B251" s="143" t="str">
        <f t="shared" si="3"/>
        <v>2020</v>
      </c>
      <c r="C251" s="144" t="s">
        <v>395</v>
      </c>
      <c r="D251" s="91" t="s">
        <v>359</v>
      </c>
      <c r="E251" s="91" t="s">
        <v>351</v>
      </c>
      <c r="F251" s="88">
        <v>134666.91</v>
      </c>
      <c r="G251" s="97" t="s">
        <v>98</v>
      </c>
      <c r="H251" s="91" t="s">
        <v>363</v>
      </c>
      <c r="I251" s="91" t="s">
        <v>361</v>
      </c>
      <c r="J251" s="91" t="str">
        <f>LEFT(empreend_Fehidro[[#This Row],[suBpdc classifc]],1)</f>
        <v/>
      </c>
      <c r="K251" s="140" t="str" cm="1">
        <f t="array" ref="K251">IF(empreend_Fehidro[[#This Row],[Devolvido?]] = "Não", _xlfn.XLOOKUP(empreend_Fehidro[[#This Row],[UGRHI]] &amp; empreend_Fehidro[[#This Row],[PDC class]], PAPI!A:A &amp; PAPI!B:B,PAPI!C:C, " PDC não prioritário no PAPI"), "n/a")</f>
        <v>n/a</v>
      </c>
      <c r="L251" s="289"/>
    </row>
    <row r="252" spans="1:12" s="69" customFormat="1" ht="14.4">
      <c r="A252" s="77">
        <f>VLOOKUP(E252,Dim_Colegiado[],2,FALSE)</f>
        <v>1</v>
      </c>
      <c r="B252" s="71" t="str">
        <f t="shared" si="3"/>
        <v>2019</v>
      </c>
      <c r="C252" s="73" t="s">
        <v>396</v>
      </c>
      <c r="D252" s="72" t="s">
        <v>397</v>
      </c>
      <c r="E252" s="72" t="s">
        <v>122</v>
      </c>
      <c r="F252" s="82">
        <v>94936.07</v>
      </c>
      <c r="G252" s="82" t="s">
        <v>101</v>
      </c>
      <c r="H252" s="72" t="s">
        <v>123</v>
      </c>
      <c r="I252" s="72"/>
      <c r="J252" s="72" t="str">
        <f>LEFT(empreend_Fehidro[[#This Row],[suBpdc classifc]],1)</f>
        <v/>
      </c>
      <c r="K252" s="85"/>
      <c r="L252" s="291"/>
    </row>
    <row r="253" spans="1:12" s="69" customFormat="1" ht="14.4">
      <c r="A253" s="78">
        <f>VLOOKUP(E253,Dim_Colegiado[],2,FALSE)</f>
        <v>1</v>
      </c>
      <c r="B253" s="67" t="str">
        <f t="shared" si="3"/>
        <v>2019</v>
      </c>
      <c r="C253" s="74" t="s">
        <v>398</v>
      </c>
      <c r="D253" s="68" t="s">
        <v>397</v>
      </c>
      <c r="E253" s="68" t="s">
        <v>122</v>
      </c>
      <c r="F253" s="84">
        <v>148750</v>
      </c>
      <c r="G253" s="82" t="s">
        <v>101</v>
      </c>
      <c r="H253" s="72" t="s">
        <v>123</v>
      </c>
      <c r="I253" s="68"/>
      <c r="J253" s="68" t="str">
        <f>LEFT(empreend_Fehidro[[#This Row],[suBpdc classifc]],1)</f>
        <v/>
      </c>
      <c r="K253" s="86"/>
      <c r="L253" s="292"/>
    </row>
    <row r="254" spans="1:12" s="69" customFormat="1" ht="14.4">
      <c r="A254" s="89">
        <f>VLOOKUP(E254,Dim_Colegiado[],2,FALSE)</f>
        <v>1</v>
      </c>
      <c r="B254" s="90" t="str">
        <f t="shared" si="3"/>
        <v>2019</v>
      </c>
      <c r="C254" s="75" t="s">
        <v>399</v>
      </c>
      <c r="D254" s="91" t="s">
        <v>397</v>
      </c>
      <c r="E254" s="91" t="s">
        <v>122</v>
      </c>
      <c r="F254" s="88">
        <v>172692.47</v>
      </c>
      <c r="G254" s="82" t="s">
        <v>101</v>
      </c>
      <c r="H254" s="72" t="s">
        <v>123</v>
      </c>
      <c r="I254" s="91"/>
      <c r="J254" s="91" t="str">
        <f>LEFT(empreend_Fehidro[[#This Row],[suBpdc classifc]],1)</f>
        <v/>
      </c>
      <c r="K254" s="85"/>
      <c r="L254" s="291"/>
    </row>
    <row r="255" spans="1:12" s="69" customFormat="1" ht="14.4">
      <c r="A255" s="78">
        <f>VLOOKUP(E255,Dim_Colegiado[],2,FALSE)</f>
        <v>1</v>
      </c>
      <c r="B255" s="67" t="str">
        <f t="shared" si="3"/>
        <v>2019</v>
      </c>
      <c r="C255" s="74" t="s">
        <v>400</v>
      </c>
      <c r="D255" s="68" t="s">
        <v>397</v>
      </c>
      <c r="E255" s="68" t="s">
        <v>122</v>
      </c>
      <c r="F255" s="92">
        <v>227049.15</v>
      </c>
      <c r="G255" s="82" t="s">
        <v>101</v>
      </c>
      <c r="H255" s="72" t="s">
        <v>123</v>
      </c>
      <c r="I255" s="68"/>
      <c r="J255" s="68" t="str">
        <f>LEFT(empreend_Fehidro[[#This Row],[suBpdc classifc]],1)</f>
        <v/>
      </c>
      <c r="K255" s="86"/>
      <c r="L255" s="292"/>
    </row>
    <row r="256" spans="1:12" s="69" customFormat="1" ht="14.4">
      <c r="A256" s="89">
        <f>VLOOKUP(E256,Dim_Colegiado[],2,FALSE)</f>
        <v>1</v>
      </c>
      <c r="B256" s="90" t="str">
        <f t="shared" si="3"/>
        <v>2019</v>
      </c>
      <c r="C256" s="75" t="s">
        <v>401</v>
      </c>
      <c r="D256" s="91" t="s">
        <v>397</v>
      </c>
      <c r="E256" s="91" t="s">
        <v>122</v>
      </c>
      <c r="F256" s="88">
        <v>242122.48</v>
      </c>
      <c r="G256" s="82" t="s">
        <v>101</v>
      </c>
      <c r="H256" s="72" t="s">
        <v>123</v>
      </c>
      <c r="I256" s="91"/>
      <c r="J256" s="91" t="str">
        <f>LEFT(empreend_Fehidro[[#This Row],[suBpdc classifc]],1)</f>
        <v/>
      </c>
      <c r="K256" s="85"/>
      <c r="L256" s="291"/>
    </row>
    <row r="257" spans="1:12" s="69" customFormat="1" ht="14.4">
      <c r="A257" s="78">
        <f>VLOOKUP(E257,Dim_Colegiado[],2,FALSE)</f>
        <v>1</v>
      </c>
      <c r="B257" s="67" t="str">
        <f t="shared" si="3"/>
        <v>2019</v>
      </c>
      <c r="C257" s="74" t="s">
        <v>402</v>
      </c>
      <c r="D257" s="68" t="s">
        <v>397</v>
      </c>
      <c r="E257" s="68" t="s">
        <v>122</v>
      </c>
      <c r="F257" s="92">
        <v>245138.53</v>
      </c>
      <c r="G257" s="82" t="s">
        <v>101</v>
      </c>
      <c r="H257" s="72" t="s">
        <v>123</v>
      </c>
      <c r="I257" s="68"/>
      <c r="J257" s="68" t="str">
        <f>LEFT(empreend_Fehidro[[#This Row],[suBpdc classifc]],1)</f>
        <v/>
      </c>
      <c r="K257" s="86"/>
      <c r="L257" s="292"/>
    </row>
    <row r="258" spans="1:12" s="69" customFormat="1" ht="14.4">
      <c r="A258" s="89">
        <f>VLOOKUP(E258,Dim_Colegiado[],2,FALSE)</f>
        <v>1</v>
      </c>
      <c r="B258" s="90" t="str">
        <f t="shared" ref="B258:B321" si="4">LEFT(C258,4)</f>
        <v>2019</v>
      </c>
      <c r="C258" s="75" t="s">
        <v>403</v>
      </c>
      <c r="D258" s="91" t="s">
        <v>397</v>
      </c>
      <c r="E258" s="91" t="s">
        <v>122</v>
      </c>
      <c r="F258" s="88">
        <v>412432.18</v>
      </c>
      <c r="G258" s="82" t="s">
        <v>101</v>
      </c>
      <c r="H258" s="72" t="s">
        <v>123</v>
      </c>
      <c r="I258" s="91"/>
      <c r="J258" s="91" t="str">
        <f>LEFT(empreend_Fehidro[[#This Row],[suBpdc classifc]],1)</f>
        <v/>
      </c>
      <c r="K258" s="85"/>
      <c r="L258" s="291"/>
    </row>
    <row r="259" spans="1:12" s="69" customFormat="1" ht="14.4">
      <c r="A259" s="78">
        <f>VLOOKUP(E259,Dim_Colegiado[],2,FALSE)</f>
        <v>1</v>
      </c>
      <c r="B259" s="67" t="str">
        <f t="shared" si="4"/>
        <v>2019</v>
      </c>
      <c r="C259" s="74" t="s">
        <v>404</v>
      </c>
      <c r="D259" s="68" t="s">
        <v>397</v>
      </c>
      <c r="E259" s="68" t="s">
        <v>122</v>
      </c>
      <c r="F259" s="92">
        <v>461730.08</v>
      </c>
      <c r="G259" s="82" t="s">
        <v>101</v>
      </c>
      <c r="H259" s="72" t="s">
        <v>123</v>
      </c>
      <c r="I259" s="68"/>
      <c r="J259" s="68" t="str">
        <f>LEFT(empreend_Fehidro[[#This Row],[suBpdc classifc]],1)</f>
        <v/>
      </c>
      <c r="K259" s="86"/>
      <c r="L259" s="292"/>
    </row>
    <row r="260" spans="1:12" s="69" customFormat="1" ht="14.4">
      <c r="A260" s="89">
        <f>VLOOKUP(E260,Dim_Colegiado[],2,FALSE)</f>
        <v>1</v>
      </c>
      <c r="B260" s="90" t="str">
        <f t="shared" si="4"/>
        <v>2019</v>
      </c>
      <c r="C260" s="75" t="s">
        <v>405</v>
      </c>
      <c r="D260" s="91" t="s">
        <v>397</v>
      </c>
      <c r="E260" s="91" t="s">
        <v>122</v>
      </c>
      <c r="F260" s="88">
        <v>639505.73</v>
      </c>
      <c r="G260" s="82" t="s">
        <v>101</v>
      </c>
      <c r="H260" s="72" t="s">
        <v>123</v>
      </c>
      <c r="I260" s="91"/>
      <c r="J260" s="91" t="str">
        <f>LEFT(empreend_Fehidro[[#This Row],[suBpdc classifc]],1)</f>
        <v/>
      </c>
      <c r="K260" s="85"/>
      <c r="L260" s="291"/>
    </row>
    <row r="261" spans="1:12" s="69" customFormat="1" ht="14.4">
      <c r="A261" s="78">
        <f>VLOOKUP(E261,Dim_Colegiado[],2,FALSE)</f>
        <v>1</v>
      </c>
      <c r="B261" s="67" t="str">
        <f t="shared" si="4"/>
        <v>2019</v>
      </c>
      <c r="C261" s="74" t="s">
        <v>406</v>
      </c>
      <c r="D261" s="68" t="s">
        <v>397</v>
      </c>
      <c r="E261" s="68" t="s">
        <v>122</v>
      </c>
      <c r="F261" s="92">
        <v>687237.08</v>
      </c>
      <c r="G261" s="82" t="s">
        <v>101</v>
      </c>
      <c r="H261" s="72" t="s">
        <v>123</v>
      </c>
      <c r="I261" s="68"/>
      <c r="J261" s="68" t="str">
        <f>LEFT(empreend_Fehidro[[#This Row],[suBpdc classifc]],1)</f>
        <v/>
      </c>
      <c r="K261" s="86"/>
      <c r="L261" s="292"/>
    </row>
    <row r="262" spans="1:12" s="69" customFormat="1" ht="14.4">
      <c r="A262" s="89">
        <f>VLOOKUP(E262,Dim_Colegiado[],2,FALSE)</f>
        <v>1</v>
      </c>
      <c r="B262" s="90" t="str">
        <f t="shared" si="4"/>
        <v>2019</v>
      </c>
      <c r="C262" s="75" t="s">
        <v>407</v>
      </c>
      <c r="D262" s="91" t="s">
        <v>408</v>
      </c>
      <c r="E262" s="91" t="s">
        <v>122</v>
      </c>
      <c r="F262" s="88">
        <v>137570</v>
      </c>
      <c r="G262" s="82" t="s">
        <v>101</v>
      </c>
      <c r="H262" s="72" t="s">
        <v>123</v>
      </c>
      <c r="I262" s="91"/>
      <c r="J262" s="91" t="str">
        <f>LEFT(empreend_Fehidro[[#This Row],[suBpdc classifc]],1)</f>
        <v/>
      </c>
      <c r="K262" s="85"/>
      <c r="L262" s="291"/>
    </row>
    <row r="263" spans="1:12" s="69" customFormat="1" ht="14.4">
      <c r="A263" s="78">
        <f>VLOOKUP(E263,Dim_Colegiado[],2,FALSE)</f>
        <v>1</v>
      </c>
      <c r="B263" s="67" t="str">
        <f t="shared" si="4"/>
        <v>2019</v>
      </c>
      <c r="C263" s="74" t="s">
        <v>409</v>
      </c>
      <c r="D263" s="68" t="s">
        <v>408</v>
      </c>
      <c r="E263" s="68" t="s">
        <v>122</v>
      </c>
      <c r="F263" s="92">
        <v>195820.45</v>
      </c>
      <c r="G263" s="82" t="s">
        <v>101</v>
      </c>
      <c r="H263" s="72" t="s">
        <v>123</v>
      </c>
      <c r="I263" s="68"/>
      <c r="J263" s="68" t="str">
        <f>LEFT(empreend_Fehidro[[#This Row],[suBpdc classifc]],1)</f>
        <v/>
      </c>
      <c r="K263" s="86"/>
      <c r="L263" s="292"/>
    </row>
    <row r="264" spans="1:12" s="69" customFormat="1" ht="14.4">
      <c r="A264" s="89">
        <f>VLOOKUP(E264,Dim_Colegiado[],2,FALSE)</f>
        <v>2</v>
      </c>
      <c r="B264" s="90" t="str">
        <f t="shared" si="4"/>
        <v>2019</v>
      </c>
      <c r="C264" s="75" t="s">
        <v>410</v>
      </c>
      <c r="D264" s="91" t="s">
        <v>411</v>
      </c>
      <c r="E264" s="91" t="s">
        <v>126</v>
      </c>
      <c r="F264" s="88">
        <v>515173.5</v>
      </c>
      <c r="G264" s="82" t="s">
        <v>101</v>
      </c>
      <c r="H264" s="72" t="s">
        <v>123</v>
      </c>
      <c r="I264" s="91"/>
      <c r="J264" s="91" t="str">
        <f>LEFT(empreend_Fehidro[[#This Row],[suBpdc classifc]],1)</f>
        <v/>
      </c>
      <c r="K264" s="85"/>
      <c r="L264" s="291"/>
    </row>
    <row r="265" spans="1:12" s="69" customFormat="1" ht="14.4">
      <c r="A265" s="78">
        <f>VLOOKUP(E265,Dim_Colegiado[],2,FALSE)</f>
        <v>2</v>
      </c>
      <c r="B265" s="67" t="str">
        <f t="shared" si="4"/>
        <v>2019</v>
      </c>
      <c r="C265" s="74" t="s">
        <v>412</v>
      </c>
      <c r="D265" s="68" t="s">
        <v>397</v>
      </c>
      <c r="E265" s="68" t="s">
        <v>126</v>
      </c>
      <c r="F265" s="92">
        <v>558392.4</v>
      </c>
      <c r="G265" s="82" t="s">
        <v>101</v>
      </c>
      <c r="H265" s="72" t="s">
        <v>123</v>
      </c>
      <c r="I265" s="68"/>
      <c r="J265" s="68" t="str">
        <f>LEFT(empreend_Fehidro[[#This Row],[suBpdc classifc]],1)</f>
        <v/>
      </c>
      <c r="K265" s="86"/>
      <c r="L265" s="292"/>
    </row>
    <row r="266" spans="1:12" s="69" customFormat="1" ht="14.4">
      <c r="A266" s="89">
        <f>VLOOKUP(E266,Dim_Colegiado[],2,FALSE)</f>
        <v>2</v>
      </c>
      <c r="B266" s="90" t="str">
        <f t="shared" si="4"/>
        <v>2019</v>
      </c>
      <c r="C266" s="75" t="s">
        <v>413</v>
      </c>
      <c r="D266" s="91" t="s">
        <v>397</v>
      </c>
      <c r="E266" s="91" t="s">
        <v>126</v>
      </c>
      <c r="F266" s="88">
        <v>965513.88</v>
      </c>
      <c r="G266" s="82" t="s">
        <v>101</v>
      </c>
      <c r="H266" s="72" t="s">
        <v>123</v>
      </c>
      <c r="I266" s="91"/>
      <c r="J266" s="91" t="str">
        <f>LEFT(empreend_Fehidro[[#This Row],[suBpdc classifc]],1)</f>
        <v/>
      </c>
      <c r="K266" s="85"/>
      <c r="L266" s="291"/>
    </row>
    <row r="267" spans="1:12" s="69" customFormat="1" ht="14.4">
      <c r="A267" s="78">
        <f>VLOOKUP(E267,Dim_Colegiado[],2,FALSE)</f>
        <v>2</v>
      </c>
      <c r="B267" s="67" t="str">
        <f t="shared" si="4"/>
        <v>2019</v>
      </c>
      <c r="C267" s="74" t="s">
        <v>414</v>
      </c>
      <c r="D267" s="68" t="s">
        <v>397</v>
      </c>
      <c r="E267" s="68" t="s">
        <v>126</v>
      </c>
      <c r="F267" s="92">
        <v>1200640.75</v>
      </c>
      <c r="G267" s="82" t="s">
        <v>101</v>
      </c>
      <c r="H267" s="72" t="s">
        <v>123</v>
      </c>
      <c r="I267" s="68"/>
      <c r="J267" s="68" t="str">
        <f>LEFT(empreend_Fehidro[[#This Row],[suBpdc classifc]],1)</f>
        <v/>
      </c>
      <c r="K267" s="86"/>
      <c r="L267" s="292"/>
    </row>
    <row r="268" spans="1:12" s="69" customFormat="1" ht="14.4">
      <c r="A268" s="89">
        <f>VLOOKUP(E268,Dim_Colegiado[],2,FALSE)</f>
        <v>2</v>
      </c>
      <c r="B268" s="90" t="str">
        <f t="shared" si="4"/>
        <v>2019</v>
      </c>
      <c r="C268" s="75" t="s">
        <v>415</v>
      </c>
      <c r="D268" s="91" t="s">
        <v>397</v>
      </c>
      <c r="E268" s="91" t="s">
        <v>126</v>
      </c>
      <c r="F268" s="88">
        <v>514839.07</v>
      </c>
      <c r="G268" s="82" t="s">
        <v>101</v>
      </c>
      <c r="H268" s="72" t="s">
        <v>123</v>
      </c>
      <c r="I268" s="91"/>
      <c r="J268" s="91" t="str">
        <f>LEFT(empreend_Fehidro[[#This Row],[suBpdc classifc]],1)</f>
        <v/>
      </c>
      <c r="K268" s="85"/>
      <c r="L268" s="291"/>
    </row>
    <row r="269" spans="1:12" s="69" customFormat="1" ht="14.4">
      <c r="A269" s="78">
        <f>VLOOKUP(E269,Dim_Colegiado[],2,FALSE)</f>
        <v>2</v>
      </c>
      <c r="B269" s="67" t="str">
        <f t="shared" si="4"/>
        <v>2019</v>
      </c>
      <c r="C269" s="74" t="s">
        <v>416</v>
      </c>
      <c r="D269" s="68" t="s">
        <v>397</v>
      </c>
      <c r="E269" s="68" t="s">
        <v>126</v>
      </c>
      <c r="F269" s="92">
        <v>549870.66</v>
      </c>
      <c r="G269" s="82" t="s">
        <v>101</v>
      </c>
      <c r="H269" s="72" t="s">
        <v>123</v>
      </c>
      <c r="I269" s="68"/>
      <c r="J269" s="68" t="str">
        <f>LEFT(empreend_Fehidro[[#This Row],[suBpdc classifc]],1)</f>
        <v/>
      </c>
      <c r="K269" s="86"/>
      <c r="L269" s="292"/>
    </row>
    <row r="270" spans="1:12" s="69" customFormat="1" ht="14.4">
      <c r="A270" s="89">
        <f>VLOOKUP(E270,Dim_Colegiado[],2,FALSE)</f>
        <v>2</v>
      </c>
      <c r="B270" s="90" t="str">
        <f t="shared" si="4"/>
        <v>2019</v>
      </c>
      <c r="C270" s="75" t="s">
        <v>417</v>
      </c>
      <c r="D270" s="91" t="s">
        <v>397</v>
      </c>
      <c r="E270" s="91" t="s">
        <v>126</v>
      </c>
      <c r="F270" s="88">
        <v>665609.41</v>
      </c>
      <c r="G270" s="82" t="s">
        <v>101</v>
      </c>
      <c r="H270" s="72" t="s">
        <v>123</v>
      </c>
      <c r="I270" s="91"/>
      <c r="J270" s="91" t="str">
        <f>LEFT(empreend_Fehidro[[#This Row],[suBpdc classifc]],1)</f>
        <v/>
      </c>
      <c r="K270" s="85"/>
      <c r="L270" s="291"/>
    </row>
    <row r="271" spans="1:12" s="69" customFormat="1" ht="14.4">
      <c r="A271" s="78">
        <f>VLOOKUP(E271,Dim_Colegiado[],2,FALSE)</f>
        <v>2</v>
      </c>
      <c r="B271" s="67" t="str">
        <f t="shared" si="4"/>
        <v>2019</v>
      </c>
      <c r="C271" s="74" t="s">
        <v>418</v>
      </c>
      <c r="D271" s="68" t="s">
        <v>397</v>
      </c>
      <c r="E271" s="68" t="s">
        <v>126</v>
      </c>
      <c r="F271" s="92">
        <v>931793.25</v>
      </c>
      <c r="G271" s="82" t="s">
        <v>101</v>
      </c>
      <c r="H271" s="72" t="s">
        <v>123</v>
      </c>
      <c r="I271" s="68"/>
      <c r="J271" s="68" t="str">
        <f>LEFT(empreend_Fehidro[[#This Row],[suBpdc classifc]],1)</f>
        <v/>
      </c>
      <c r="K271" s="86"/>
      <c r="L271" s="292"/>
    </row>
    <row r="272" spans="1:12" s="69" customFormat="1" ht="14.4">
      <c r="A272" s="89">
        <f>VLOOKUP(E272,Dim_Colegiado[],2,FALSE)</f>
        <v>2</v>
      </c>
      <c r="B272" s="90" t="str">
        <f t="shared" si="4"/>
        <v>2019</v>
      </c>
      <c r="C272" s="75" t="s">
        <v>419</v>
      </c>
      <c r="D272" s="91" t="s">
        <v>408</v>
      </c>
      <c r="E272" s="91" t="s">
        <v>126</v>
      </c>
      <c r="F272" s="88">
        <v>282175.58</v>
      </c>
      <c r="G272" s="82" t="s">
        <v>101</v>
      </c>
      <c r="H272" s="72" t="s">
        <v>123</v>
      </c>
      <c r="I272" s="91"/>
      <c r="J272" s="91" t="str">
        <f>LEFT(empreend_Fehidro[[#This Row],[suBpdc classifc]],1)</f>
        <v/>
      </c>
      <c r="K272" s="85"/>
      <c r="L272" s="291"/>
    </row>
    <row r="273" spans="1:12" s="69" customFormat="1" ht="14.4">
      <c r="A273" s="78">
        <f>VLOOKUP(E273,Dim_Colegiado[],2,FALSE)</f>
        <v>2</v>
      </c>
      <c r="B273" s="67" t="str">
        <f t="shared" si="4"/>
        <v>2019</v>
      </c>
      <c r="C273" s="74" t="s">
        <v>420</v>
      </c>
      <c r="D273" s="68" t="s">
        <v>408</v>
      </c>
      <c r="E273" s="68" t="s">
        <v>126</v>
      </c>
      <c r="F273" s="92">
        <v>57980.41</v>
      </c>
      <c r="G273" s="82" t="s">
        <v>101</v>
      </c>
      <c r="H273" s="72" t="s">
        <v>123</v>
      </c>
      <c r="I273" s="68"/>
      <c r="J273" s="68" t="str">
        <f>LEFT(empreend_Fehidro[[#This Row],[suBpdc classifc]],1)</f>
        <v/>
      </c>
      <c r="K273" s="86"/>
      <c r="L273" s="292"/>
    </row>
    <row r="274" spans="1:12" s="69" customFormat="1" ht="14.4">
      <c r="A274" s="89">
        <f>VLOOKUP(E274,Dim_Colegiado[],2,FALSE)</f>
        <v>2</v>
      </c>
      <c r="B274" s="90" t="str">
        <f t="shared" si="4"/>
        <v>2019</v>
      </c>
      <c r="C274" s="75" t="s">
        <v>421</v>
      </c>
      <c r="D274" s="91" t="s">
        <v>408</v>
      </c>
      <c r="E274" s="91" t="s">
        <v>126</v>
      </c>
      <c r="F274" s="88">
        <v>205598.29</v>
      </c>
      <c r="G274" s="82" t="s">
        <v>101</v>
      </c>
      <c r="H274" s="72" t="s">
        <v>123</v>
      </c>
      <c r="I274" s="91"/>
      <c r="J274" s="91" t="str">
        <f>LEFT(empreend_Fehidro[[#This Row],[suBpdc classifc]],1)</f>
        <v/>
      </c>
      <c r="K274" s="85"/>
      <c r="L274" s="291"/>
    </row>
    <row r="275" spans="1:12" s="69" customFormat="1" ht="14.4">
      <c r="A275" s="78">
        <f>VLOOKUP(E275,Dim_Colegiado[],2,FALSE)</f>
        <v>2</v>
      </c>
      <c r="B275" s="67" t="str">
        <f t="shared" si="4"/>
        <v>2019</v>
      </c>
      <c r="C275" s="74" t="s">
        <v>422</v>
      </c>
      <c r="D275" s="68" t="s">
        <v>408</v>
      </c>
      <c r="E275" s="68" t="s">
        <v>126</v>
      </c>
      <c r="F275" s="92">
        <v>224604.4</v>
      </c>
      <c r="G275" s="82" t="s">
        <v>101</v>
      </c>
      <c r="H275" s="72" t="s">
        <v>123</v>
      </c>
      <c r="I275" s="68"/>
      <c r="J275" s="68" t="str">
        <f>LEFT(empreend_Fehidro[[#This Row],[suBpdc classifc]],1)</f>
        <v/>
      </c>
      <c r="K275" s="86"/>
      <c r="L275" s="292"/>
    </row>
    <row r="276" spans="1:12" s="69" customFormat="1" ht="14.4">
      <c r="A276" s="89">
        <f>VLOOKUP(E276,Dim_Colegiado[],2,FALSE)</f>
        <v>2</v>
      </c>
      <c r="B276" s="90" t="str">
        <f t="shared" si="4"/>
        <v>2019</v>
      </c>
      <c r="C276" s="75" t="s">
        <v>423</v>
      </c>
      <c r="D276" s="91" t="s">
        <v>408</v>
      </c>
      <c r="E276" s="91" t="s">
        <v>126</v>
      </c>
      <c r="F276" s="88">
        <v>245061.66</v>
      </c>
      <c r="G276" s="82" t="s">
        <v>101</v>
      </c>
      <c r="H276" s="72" t="s">
        <v>123</v>
      </c>
      <c r="I276" s="91"/>
      <c r="J276" s="91" t="str">
        <f>LEFT(empreend_Fehidro[[#This Row],[suBpdc classifc]],1)</f>
        <v/>
      </c>
      <c r="K276" s="85"/>
      <c r="L276" s="291"/>
    </row>
    <row r="277" spans="1:12" s="69" customFormat="1" ht="14.4">
      <c r="A277" s="78">
        <f>VLOOKUP(E277,Dim_Colegiado[],2,FALSE)</f>
        <v>2</v>
      </c>
      <c r="B277" s="67" t="str">
        <f t="shared" si="4"/>
        <v>2019</v>
      </c>
      <c r="C277" s="74" t="s">
        <v>424</v>
      </c>
      <c r="D277" s="68" t="s">
        <v>408</v>
      </c>
      <c r="E277" s="68" t="s">
        <v>126</v>
      </c>
      <c r="F277" s="92">
        <v>320695.33</v>
      </c>
      <c r="G277" s="82" t="s">
        <v>101</v>
      </c>
      <c r="H277" s="72" t="s">
        <v>123</v>
      </c>
      <c r="I277" s="68"/>
      <c r="J277" s="68" t="str">
        <f>LEFT(empreend_Fehidro[[#This Row],[suBpdc classifc]],1)</f>
        <v/>
      </c>
      <c r="K277" s="86"/>
      <c r="L277" s="292"/>
    </row>
    <row r="278" spans="1:12" s="69" customFormat="1" ht="14.4">
      <c r="A278" s="89">
        <f>VLOOKUP(E278,Dim_Colegiado[],2,FALSE)</f>
        <v>2</v>
      </c>
      <c r="B278" s="90" t="str">
        <f t="shared" si="4"/>
        <v>2019</v>
      </c>
      <c r="C278" s="75" t="s">
        <v>425</v>
      </c>
      <c r="D278" s="91" t="s">
        <v>408</v>
      </c>
      <c r="E278" s="91" t="s">
        <v>126</v>
      </c>
      <c r="F278" s="88">
        <v>611027.56999999995</v>
      </c>
      <c r="G278" s="82" t="s">
        <v>101</v>
      </c>
      <c r="H278" s="72" t="s">
        <v>123</v>
      </c>
      <c r="I278" s="91"/>
      <c r="J278" s="91" t="str">
        <f>LEFT(empreend_Fehidro[[#This Row],[suBpdc classifc]],1)</f>
        <v/>
      </c>
      <c r="K278" s="85"/>
      <c r="L278" s="291"/>
    </row>
    <row r="279" spans="1:12" s="141" customFormat="1" ht="11.25" customHeight="1">
      <c r="A279" s="78">
        <f>VLOOKUP(E279,Dim_Colegiado[],2,FALSE)</f>
        <v>2</v>
      </c>
      <c r="B279" s="67" t="str">
        <f t="shared" si="4"/>
        <v>2019</v>
      </c>
      <c r="C279" s="74" t="s">
        <v>426</v>
      </c>
      <c r="D279" s="68" t="s">
        <v>408</v>
      </c>
      <c r="E279" s="68" t="s">
        <v>126</v>
      </c>
      <c r="F279" s="92">
        <v>800000</v>
      </c>
      <c r="G279" s="82" t="s">
        <v>101</v>
      </c>
      <c r="H279" s="72" t="s">
        <v>123</v>
      </c>
      <c r="I279" s="68"/>
      <c r="J279" s="68" t="str">
        <f>LEFT(empreend_Fehidro[[#This Row],[suBpdc classifc]],1)</f>
        <v/>
      </c>
      <c r="K279" s="86"/>
      <c r="L279" s="292"/>
    </row>
    <row r="280" spans="1:12" s="141" customFormat="1" ht="11.25" customHeight="1">
      <c r="A280" s="89">
        <f>VLOOKUP(E280,Dim_Colegiado[],2,FALSE)</f>
        <v>2</v>
      </c>
      <c r="B280" s="90" t="str">
        <f t="shared" si="4"/>
        <v>2019</v>
      </c>
      <c r="C280" s="75" t="s">
        <v>427</v>
      </c>
      <c r="D280" s="91" t="s">
        <v>408</v>
      </c>
      <c r="E280" s="91" t="s">
        <v>126</v>
      </c>
      <c r="F280" s="88">
        <v>2442509.5699999998</v>
      </c>
      <c r="G280" s="82" t="s">
        <v>101</v>
      </c>
      <c r="H280" s="72" t="s">
        <v>123</v>
      </c>
      <c r="I280" s="91"/>
      <c r="J280" s="91" t="str">
        <f>LEFT(empreend_Fehidro[[#This Row],[suBpdc classifc]],1)</f>
        <v/>
      </c>
      <c r="K280" s="85"/>
      <c r="L280" s="291"/>
    </row>
    <row r="281" spans="1:12" s="141" customFormat="1" ht="11.25" customHeight="1">
      <c r="A281" s="93">
        <f>VLOOKUP(E281,Dim_Colegiado[],2,FALSE)</f>
        <v>3</v>
      </c>
      <c r="B281" s="94" t="str">
        <f t="shared" si="4"/>
        <v>2019</v>
      </c>
      <c r="C281" s="76" t="s">
        <v>428</v>
      </c>
      <c r="D281" s="95" t="s">
        <v>397</v>
      </c>
      <c r="E281" s="95" t="s">
        <v>133</v>
      </c>
      <c r="F281" s="92">
        <v>239519</v>
      </c>
      <c r="G281" s="82" t="s">
        <v>101</v>
      </c>
      <c r="H281" s="72" t="s">
        <v>123</v>
      </c>
      <c r="I281" s="95"/>
      <c r="J281" s="95" t="str">
        <f>LEFT(empreend_Fehidro[[#This Row],[suBpdc classifc]],1)</f>
        <v/>
      </c>
      <c r="K281" s="86"/>
      <c r="L281" s="293"/>
    </row>
    <row r="282" spans="1:12" s="141" customFormat="1" ht="11.25" customHeight="1">
      <c r="A282" s="89">
        <f>VLOOKUP(E282,Dim_Colegiado[],2,FALSE)</f>
        <v>3</v>
      </c>
      <c r="B282" s="90" t="str">
        <f t="shared" si="4"/>
        <v>2019</v>
      </c>
      <c r="C282" s="75" t="s">
        <v>429</v>
      </c>
      <c r="D282" s="91" t="s">
        <v>408</v>
      </c>
      <c r="E282" s="91" t="s">
        <v>133</v>
      </c>
      <c r="F282" s="88">
        <v>148282.4</v>
      </c>
      <c r="G282" s="82" t="s">
        <v>101</v>
      </c>
      <c r="H282" s="72" t="s">
        <v>123</v>
      </c>
      <c r="I282" s="91"/>
      <c r="J282" s="91" t="str">
        <f>LEFT(empreend_Fehidro[[#This Row],[suBpdc classifc]],1)</f>
        <v/>
      </c>
      <c r="K282" s="85"/>
      <c r="L282" s="293"/>
    </row>
    <row r="283" spans="1:12" s="70" customFormat="1" ht="14.4">
      <c r="A283" s="93">
        <f>VLOOKUP(E283,Dim_Colegiado[],2,FALSE)</f>
        <v>3</v>
      </c>
      <c r="B283" s="94" t="str">
        <f t="shared" si="4"/>
        <v>2019</v>
      </c>
      <c r="C283" s="76" t="s">
        <v>430</v>
      </c>
      <c r="D283" s="95" t="s">
        <v>408</v>
      </c>
      <c r="E283" s="95" t="s">
        <v>133</v>
      </c>
      <c r="F283" s="92">
        <v>349125</v>
      </c>
      <c r="G283" s="82" t="s">
        <v>101</v>
      </c>
      <c r="H283" s="72" t="s">
        <v>123</v>
      </c>
      <c r="I283" s="95"/>
      <c r="J283" s="95" t="str">
        <f>LEFT(empreend_Fehidro[[#This Row],[suBpdc classifc]],1)</f>
        <v/>
      </c>
      <c r="K283" s="86"/>
      <c r="L283" s="293"/>
    </row>
    <row r="284" spans="1:12" s="141" customFormat="1" ht="11.25" customHeight="1">
      <c r="A284" s="89">
        <f>VLOOKUP(E284,Dim_Colegiado[],2,FALSE)</f>
        <v>3</v>
      </c>
      <c r="B284" s="90" t="str">
        <f t="shared" si="4"/>
        <v>2019</v>
      </c>
      <c r="C284" s="75" t="s">
        <v>431</v>
      </c>
      <c r="D284" s="91" t="s">
        <v>408</v>
      </c>
      <c r="E284" s="91" t="s">
        <v>133</v>
      </c>
      <c r="F284" s="88">
        <v>460742.05</v>
      </c>
      <c r="G284" s="82" t="s">
        <v>101</v>
      </c>
      <c r="H284" s="72" t="s">
        <v>123</v>
      </c>
      <c r="I284" s="91"/>
      <c r="J284" s="91" t="str">
        <f>LEFT(empreend_Fehidro[[#This Row],[suBpdc classifc]],1)</f>
        <v/>
      </c>
      <c r="K284" s="85"/>
      <c r="L284" s="293"/>
    </row>
    <row r="285" spans="1:12" s="70" customFormat="1" ht="14.4">
      <c r="A285" s="89">
        <f>VLOOKUP(E285,Dim_Colegiado[],2,FALSE)</f>
        <v>4</v>
      </c>
      <c r="B285" s="90" t="str">
        <f t="shared" si="4"/>
        <v>2019</v>
      </c>
      <c r="C285" s="75" t="s">
        <v>432</v>
      </c>
      <c r="D285" s="91" t="s">
        <v>411</v>
      </c>
      <c r="E285" s="91" t="s">
        <v>137</v>
      </c>
      <c r="F285" s="88">
        <v>204388.7</v>
      </c>
      <c r="G285" s="82" t="s">
        <v>101</v>
      </c>
      <c r="H285" s="72" t="s">
        <v>123</v>
      </c>
      <c r="I285" s="91"/>
      <c r="J285" s="91" t="str">
        <f>LEFT(empreend_Fehidro[[#This Row],[suBpdc classifc]],1)</f>
        <v/>
      </c>
      <c r="K285" s="85"/>
      <c r="L285" s="291"/>
    </row>
    <row r="286" spans="1:12" s="141" customFormat="1" ht="11.25" customHeight="1">
      <c r="A286" s="93">
        <f>VLOOKUP(E286,Dim_Colegiado[],2,FALSE)</f>
        <v>4</v>
      </c>
      <c r="B286" s="94" t="str">
        <f t="shared" si="4"/>
        <v>2019</v>
      </c>
      <c r="C286" s="76" t="s">
        <v>433</v>
      </c>
      <c r="D286" s="95" t="s">
        <v>411</v>
      </c>
      <c r="E286" s="95" t="s">
        <v>137</v>
      </c>
      <c r="F286" s="92">
        <v>293804</v>
      </c>
      <c r="G286" s="82" t="s">
        <v>101</v>
      </c>
      <c r="H286" s="72" t="s">
        <v>123</v>
      </c>
      <c r="I286" s="95"/>
      <c r="J286" s="95" t="str">
        <f>LEFT(empreend_Fehidro[[#This Row],[suBpdc classifc]],1)</f>
        <v/>
      </c>
      <c r="K286" s="86"/>
      <c r="L286" s="292"/>
    </row>
    <row r="287" spans="1:12" s="141" customFormat="1" ht="11.25" customHeight="1">
      <c r="A287" s="89">
        <f>VLOOKUP(E287,Dim_Colegiado[],2,FALSE)</f>
        <v>4</v>
      </c>
      <c r="B287" s="90" t="str">
        <f t="shared" si="4"/>
        <v>2019</v>
      </c>
      <c r="C287" s="75" t="s">
        <v>434</v>
      </c>
      <c r="D287" s="91" t="s">
        <v>411</v>
      </c>
      <c r="E287" s="91" t="s">
        <v>137</v>
      </c>
      <c r="F287" s="88">
        <v>183206.19</v>
      </c>
      <c r="G287" s="82" t="s">
        <v>101</v>
      </c>
      <c r="H287" s="72" t="s">
        <v>123</v>
      </c>
      <c r="I287" s="91"/>
      <c r="J287" s="91" t="str">
        <f>LEFT(empreend_Fehidro[[#This Row],[suBpdc classifc]],1)</f>
        <v/>
      </c>
      <c r="K287" s="85"/>
      <c r="L287" s="291"/>
    </row>
    <row r="288" spans="1:12" s="141" customFormat="1" ht="11.25" customHeight="1">
      <c r="A288" s="93">
        <f>VLOOKUP(E288,Dim_Colegiado[],2,FALSE)</f>
        <v>4</v>
      </c>
      <c r="B288" s="94" t="str">
        <f t="shared" si="4"/>
        <v>2019</v>
      </c>
      <c r="C288" s="76" t="s">
        <v>435</v>
      </c>
      <c r="D288" s="95" t="s">
        <v>411</v>
      </c>
      <c r="E288" s="95" t="s">
        <v>137</v>
      </c>
      <c r="F288" s="92">
        <v>347040.7</v>
      </c>
      <c r="G288" s="82" t="s">
        <v>101</v>
      </c>
      <c r="H288" s="72" t="s">
        <v>123</v>
      </c>
      <c r="I288" s="95"/>
      <c r="J288" s="95" t="str">
        <f>LEFT(empreend_Fehidro[[#This Row],[suBpdc classifc]],1)</f>
        <v/>
      </c>
      <c r="K288" s="86"/>
      <c r="L288" s="292"/>
    </row>
    <row r="289" spans="1:12" s="141" customFormat="1" ht="11.25" customHeight="1">
      <c r="A289" s="89">
        <f>VLOOKUP(E289,Dim_Colegiado[],2,FALSE)</f>
        <v>4</v>
      </c>
      <c r="B289" s="90" t="str">
        <f t="shared" si="4"/>
        <v>2019</v>
      </c>
      <c r="C289" s="75" t="s">
        <v>436</v>
      </c>
      <c r="D289" s="91" t="s">
        <v>411</v>
      </c>
      <c r="E289" s="91" t="s">
        <v>137</v>
      </c>
      <c r="F289" s="88">
        <v>113118</v>
      </c>
      <c r="G289" s="82" t="s">
        <v>101</v>
      </c>
      <c r="H289" s="72" t="s">
        <v>123</v>
      </c>
      <c r="I289" s="91"/>
      <c r="J289" s="91" t="str">
        <f>LEFT(empreend_Fehidro[[#This Row],[suBpdc classifc]],1)</f>
        <v/>
      </c>
      <c r="K289" s="85"/>
      <c r="L289" s="291"/>
    </row>
    <row r="290" spans="1:12" s="141" customFormat="1" ht="11.25" customHeight="1">
      <c r="A290" s="93">
        <f>VLOOKUP(E290,Dim_Colegiado[],2,FALSE)</f>
        <v>4</v>
      </c>
      <c r="B290" s="94" t="str">
        <f t="shared" si="4"/>
        <v>2019</v>
      </c>
      <c r="C290" s="76" t="s">
        <v>437</v>
      </c>
      <c r="D290" s="95" t="s">
        <v>411</v>
      </c>
      <c r="E290" s="95" t="s">
        <v>137</v>
      </c>
      <c r="F290" s="92">
        <v>130741.45</v>
      </c>
      <c r="G290" s="82" t="s">
        <v>101</v>
      </c>
      <c r="H290" s="72" t="s">
        <v>123</v>
      </c>
      <c r="I290" s="95"/>
      <c r="J290" s="95" t="str">
        <f>LEFT(empreend_Fehidro[[#This Row],[suBpdc classifc]],1)</f>
        <v/>
      </c>
      <c r="K290" s="86"/>
      <c r="L290" s="292"/>
    </row>
    <row r="291" spans="1:12" s="70" customFormat="1" ht="14.4">
      <c r="A291" s="89">
        <f>VLOOKUP(E291,Dim_Colegiado[],2,FALSE)</f>
        <v>4</v>
      </c>
      <c r="B291" s="90" t="str">
        <f t="shared" si="4"/>
        <v>2019</v>
      </c>
      <c r="C291" s="75" t="s">
        <v>438</v>
      </c>
      <c r="D291" s="91" t="s">
        <v>411</v>
      </c>
      <c r="E291" s="91" t="s">
        <v>137</v>
      </c>
      <c r="F291" s="88">
        <v>149759.74</v>
      </c>
      <c r="G291" s="82" t="s">
        <v>101</v>
      </c>
      <c r="H291" s="72" t="s">
        <v>123</v>
      </c>
      <c r="I291" s="91"/>
      <c r="J291" s="91" t="str">
        <f>LEFT(empreend_Fehidro[[#This Row],[suBpdc classifc]],1)</f>
        <v/>
      </c>
      <c r="K291" s="85"/>
      <c r="L291" s="291"/>
    </row>
    <row r="292" spans="1:12" s="70" customFormat="1" ht="14.4">
      <c r="A292" s="93">
        <f>VLOOKUP(E292,Dim_Colegiado[],2,FALSE)</f>
        <v>4</v>
      </c>
      <c r="B292" s="94" t="str">
        <f t="shared" si="4"/>
        <v>2019</v>
      </c>
      <c r="C292" s="76" t="s">
        <v>439</v>
      </c>
      <c r="D292" s="95" t="s">
        <v>397</v>
      </c>
      <c r="E292" s="95" t="s">
        <v>137</v>
      </c>
      <c r="F292" s="92">
        <v>134820</v>
      </c>
      <c r="G292" s="82" t="s">
        <v>101</v>
      </c>
      <c r="H292" s="72" t="s">
        <v>123</v>
      </c>
      <c r="I292" s="95"/>
      <c r="J292" s="95" t="str">
        <f>LEFT(empreend_Fehidro[[#This Row],[suBpdc classifc]],1)</f>
        <v/>
      </c>
      <c r="K292" s="86"/>
      <c r="L292" s="292"/>
    </row>
    <row r="293" spans="1:12" s="69" customFormat="1" ht="14.4">
      <c r="A293" s="89">
        <f>VLOOKUP(E293,Dim_Colegiado[],2,FALSE)</f>
        <v>4</v>
      </c>
      <c r="B293" s="90" t="str">
        <f t="shared" si="4"/>
        <v>2019</v>
      </c>
      <c r="C293" s="75" t="s">
        <v>440</v>
      </c>
      <c r="D293" s="91" t="s">
        <v>397</v>
      </c>
      <c r="E293" s="91" t="s">
        <v>137</v>
      </c>
      <c r="F293" s="88">
        <v>349719.6</v>
      </c>
      <c r="G293" s="82" t="s">
        <v>101</v>
      </c>
      <c r="H293" s="72" t="s">
        <v>123</v>
      </c>
      <c r="I293" s="91"/>
      <c r="J293" s="91" t="str">
        <f>LEFT(empreend_Fehidro[[#This Row],[suBpdc classifc]],1)</f>
        <v/>
      </c>
      <c r="K293" s="85"/>
      <c r="L293" s="291"/>
    </row>
    <row r="294" spans="1:12" s="69" customFormat="1" ht="14.4">
      <c r="A294" s="93">
        <f>VLOOKUP(E294,Dim_Colegiado[],2,FALSE)</f>
        <v>4</v>
      </c>
      <c r="B294" s="94" t="str">
        <f t="shared" si="4"/>
        <v>2019</v>
      </c>
      <c r="C294" s="76" t="s">
        <v>441</v>
      </c>
      <c r="D294" s="95" t="s">
        <v>397</v>
      </c>
      <c r="E294" s="95" t="s">
        <v>137</v>
      </c>
      <c r="F294" s="92">
        <v>485147.2</v>
      </c>
      <c r="G294" s="82" t="s">
        <v>101</v>
      </c>
      <c r="H294" s="72" t="s">
        <v>123</v>
      </c>
      <c r="I294" s="95"/>
      <c r="J294" s="95" t="str">
        <f>LEFT(empreend_Fehidro[[#This Row],[suBpdc classifc]],1)</f>
        <v/>
      </c>
      <c r="K294" s="86"/>
      <c r="L294" s="292"/>
    </row>
    <row r="295" spans="1:12" s="69" customFormat="1" ht="14.4">
      <c r="A295" s="89">
        <f>VLOOKUP(E295,Dim_Colegiado[],2,FALSE)</f>
        <v>4</v>
      </c>
      <c r="B295" s="90" t="str">
        <f t="shared" si="4"/>
        <v>2019</v>
      </c>
      <c r="C295" s="75" t="s">
        <v>442</v>
      </c>
      <c r="D295" s="91" t="s">
        <v>397</v>
      </c>
      <c r="E295" s="91" t="s">
        <v>137</v>
      </c>
      <c r="F295" s="88">
        <v>79962.31</v>
      </c>
      <c r="G295" s="82" t="s">
        <v>101</v>
      </c>
      <c r="H295" s="72" t="s">
        <v>123</v>
      </c>
      <c r="I295" s="91"/>
      <c r="J295" s="91" t="str">
        <f>LEFT(empreend_Fehidro[[#This Row],[suBpdc classifc]],1)</f>
        <v/>
      </c>
      <c r="K295" s="85"/>
      <c r="L295" s="291"/>
    </row>
    <row r="296" spans="1:12" s="69" customFormat="1" ht="14.4">
      <c r="A296" s="93">
        <f>VLOOKUP(E296,Dim_Colegiado[],2,FALSE)</f>
        <v>4</v>
      </c>
      <c r="B296" s="94" t="str">
        <f t="shared" si="4"/>
        <v>2019</v>
      </c>
      <c r="C296" s="76" t="s">
        <v>443</v>
      </c>
      <c r="D296" s="95" t="s">
        <v>397</v>
      </c>
      <c r="E296" s="95" t="s">
        <v>137</v>
      </c>
      <c r="F296" s="92">
        <v>91168.42</v>
      </c>
      <c r="G296" s="82" t="s">
        <v>101</v>
      </c>
      <c r="H296" s="72" t="s">
        <v>123</v>
      </c>
      <c r="I296" s="95"/>
      <c r="J296" s="95" t="str">
        <f>LEFT(empreend_Fehidro[[#This Row],[suBpdc classifc]],1)</f>
        <v/>
      </c>
      <c r="K296" s="86"/>
      <c r="L296" s="292"/>
    </row>
    <row r="297" spans="1:12" s="69" customFormat="1" ht="14.4">
      <c r="A297" s="89">
        <f>VLOOKUP(E297,Dim_Colegiado[],2,FALSE)</f>
        <v>4</v>
      </c>
      <c r="B297" s="90" t="str">
        <f t="shared" si="4"/>
        <v>2019</v>
      </c>
      <c r="C297" s="75" t="s">
        <v>444</v>
      </c>
      <c r="D297" s="91" t="s">
        <v>397</v>
      </c>
      <c r="E297" s="91" t="s">
        <v>137</v>
      </c>
      <c r="F297" s="88">
        <v>167438.87</v>
      </c>
      <c r="G297" s="82" t="s">
        <v>101</v>
      </c>
      <c r="H297" s="72" t="s">
        <v>123</v>
      </c>
      <c r="I297" s="91"/>
      <c r="J297" s="91" t="str">
        <f>LEFT(empreend_Fehidro[[#This Row],[suBpdc classifc]],1)</f>
        <v/>
      </c>
      <c r="K297" s="85"/>
      <c r="L297" s="291"/>
    </row>
    <row r="298" spans="1:12" s="69" customFormat="1" ht="14.4">
      <c r="A298" s="93">
        <f>VLOOKUP(E298,Dim_Colegiado[],2,FALSE)</f>
        <v>4</v>
      </c>
      <c r="B298" s="94" t="str">
        <f t="shared" si="4"/>
        <v>2019</v>
      </c>
      <c r="C298" s="76" t="s">
        <v>445</v>
      </c>
      <c r="D298" s="95" t="s">
        <v>397</v>
      </c>
      <c r="E298" s="95" t="s">
        <v>137</v>
      </c>
      <c r="F298" s="92">
        <v>178015.84</v>
      </c>
      <c r="G298" s="82" t="s">
        <v>101</v>
      </c>
      <c r="H298" s="72" t="s">
        <v>123</v>
      </c>
      <c r="I298" s="95"/>
      <c r="J298" s="95" t="str">
        <f>LEFT(empreend_Fehidro[[#This Row],[suBpdc classifc]],1)</f>
        <v/>
      </c>
      <c r="K298" s="86"/>
      <c r="L298" s="292"/>
    </row>
    <row r="299" spans="1:12" s="69" customFormat="1" ht="14.4">
      <c r="A299" s="89">
        <f>VLOOKUP(E299,Dim_Colegiado[],2,FALSE)</f>
        <v>4</v>
      </c>
      <c r="B299" s="90" t="str">
        <f t="shared" si="4"/>
        <v>2019</v>
      </c>
      <c r="C299" s="75" t="s">
        <v>446</v>
      </c>
      <c r="D299" s="91" t="s">
        <v>397</v>
      </c>
      <c r="E299" s="91" t="s">
        <v>137</v>
      </c>
      <c r="F299" s="88">
        <v>191280.63</v>
      </c>
      <c r="G299" s="82" t="s">
        <v>101</v>
      </c>
      <c r="H299" s="72" t="s">
        <v>123</v>
      </c>
      <c r="I299" s="91"/>
      <c r="J299" s="91" t="str">
        <f>LEFT(empreend_Fehidro[[#This Row],[suBpdc classifc]],1)</f>
        <v/>
      </c>
      <c r="K299" s="85"/>
      <c r="L299" s="291"/>
    </row>
    <row r="300" spans="1:12" s="69" customFormat="1" ht="14.4">
      <c r="A300" s="93">
        <f>VLOOKUP(E300,Dim_Colegiado[],2,FALSE)</f>
        <v>4</v>
      </c>
      <c r="B300" s="94" t="str">
        <f t="shared" si="4"/>
        <v>2019</v>
      </c>
      <c r="C300" s="76" t="s">
        <v>447</v>
      </c>
      <c r="D300" s="95" t="s">
        <v>397</v>
      </c>
      <c r="E300" s="95" t="s">
        <v>137</v>
      </c>
      <c r="F300" s="92">
        <v>342941.49</v>
      </c>
      <c r="G300" s="82" t="s">
        <v>101</v>
      </c>
      <c r="H300" s="72" t="s">
        <v>123</v>
      </c>
      <c r="I300" s="95"/>
      <c r="J300" s="95" t="str">
        <f>LEFT(empreend_Fehidro[[#This Row],[suBpdc classifc]],1)</f>
        <v/>
      </c>
      <c r="K300" s="86"/>
      <c r="L300" s="292"/>
    </row>
    <row r="301" spans="1:12" s="69" customFormat="1" ht="14.4">
      <c r="A301" s="89">
        <f>VLOOKUP(E301,Dim_Colegiado[],2,FALSE)</f>
        <v>4</v>
      </c>
      <c r="B301" s="90" t="str">
        <f t="shared" si="4"/>
        <v>2019</v>
      </c>
      <c r="C301" s="75" t="s">
        <v>448</v>
      </c>
      <c r="D301" s="91" t="s">
        <v>397</v>
      </c>
      <c r="E301" s="91" t="s">
        <v>137</v>
      </c>
      <c r="F301" s="88">
        <v>399922.36</v>
      </c>
      <c r="G301" s="82" t="s">
        <v>101</v>
      </c>
      <c r="H301" s="72" t="s">
        <v>123</v>
      </c>
      <c r="I301" s="91"/>
      <c r="J301" s="91" t="str">
        <f>LEFT(empreend_Fehidro[[#This Row],[suBpdc classifc]],1)</f>
        <v/>
      </c>
      <c r="K301" s="85"/>
      <c r="L301" s="291"/>
    </row>
    <row r="302" spans="1:12" s="69" customFormat="1" ht="14.4">
      <c r="A302" s="93">
        <f>VLOOKUP(E302,Dim_Colegiado[],2,FALSE)</f>
        <v>4</v>
      </c>
      <c r="B302" s="94" t="str">
        <f t="shared" si="4"/>
        <v>2019</v>
      </c>
      <c r="C302" s="76" t="s">
        <v>449</v>
      </c>
      <c r="D302" s="95" t="s">
        <v>397</v>
      </c>
      <c r="E302" s="95" t="s">
        <v>137</v>
      </c>
      <c r="F302" s="92">
        <v>399965.62</v>
      </c>
      <c r="G302" s="82" t="s">
        <v>101</v>
      </c>
      <c r="H302" s="72" t="s">
        <v>123</v>
      </c>
      <c r="I302" s="95"/>
      <c r="J302" s="95" t="str">
        <f>LEFT(empreend_Fehidro[[#This Row],[suBpdc classifc]],1)</f>
        <v/>
      </c>
      <c r="K302" s="86"/>
      <c r="L302" s="292"/>
    </row>
    <row r="303" spans="1:12" s="69" customFormat="1" ht="14.4">
      <c r="A303" s="89">
        <f>VLOOKUP(E303,Dim_Colegiado[],2,FALSE)</f>
        <v>4</v>
      </c>
      <c r="B303" s="90" t="str">
        <f t="shared" si="4"/>
        <v>2019</v>
      </c>
      <c r="C303" s="75" t="s">
        <v>450</v>
      </c>
      <c r="D303" s="91" t="s">
        <v>397</v>
      </c>
      <c r="E303" s="91" t="s">
        <v>137</v>
      </c>
      <c r="F303" s="88">
        <v>457979.02</v>
      </c>
      <c r="G303" s="82" t="s">
        <v>101</v>
      </c>
      <c r="H303" s="72" t="s">
        <v>123</v>
      </c>
      <c r="I303" s="91"/>
      <c r="J303" s="91" t="str">
        <f>LEFT(empreend_Fehidro[[#This Row],[suBpdc classifc]],1)</f>
        <v/>
      </c>
      <c r="K303" s="85"/>
      <c r="L303" s="291"/>
    </row>
    <row r="304" spans="1:12" s="69" customFormat="1" ht="14.4">
      <c r="A304" s="93">
        <f>VLOOKUP(E304,Dim_Colegiado[],2,FALSE)</f>
        <v>4</v>
      </c>
      <c r="B304" s="94" t="str">
        <f t="shared" si="4"/>
        <v>2019</v>
      </c>
      <c r="C304" s="76" t="s">
        <v>451</v>
      </c>
      <c r="D304" s="95" t="s">
        <v>408</v>
      </c>
      <c r="E304" s="95" t="s">
        <v>137</v>
      </c>
      <c r="F304" s="92">
        <v>121173.28</v>
      </c>
      <c r="G304" s="82" t="s">
        <v>101</v>
      </c>
      <c r="H304" s="72" t="s">
        <v>123</v>
      </c>
      <c r="I304" s="95"/>
      <c r="J304" s="95" t="str">
        <f>LEFT(empreend_Fehidro[[#This Row],[suBpdc classifc]],1)</f>
        <v/>
      </c>
      <c r="K304" s="86"/>
      <c r="L304" s="292"/>
    </row>
    <row r="305" spans="1:12" s="69" customFormat="1" ht="14.4">
      <c r="A305" s="89">
        <f>VLOOKUP(E305,Dim_Colegiado[],2,FALSE)</f>
        <v>4</v>
      </c>
      <c r="B305" s="90" t="str">
        <f t="shared" si="4"/>
        <v>2019</v>
      </c>
      <c r="C305" s="75" t="s">
        <v>452</v>
      </c>
      <c r="D305" s="91" t="s">
        <v>408</v>
      </c>
      <c r="E305" s="91" t="s">
        <v>137</v>
      </c>
      <c r="F305" s="88">
        <v>224106.16</v>
      </c>
      <c r="G305" s="82" t="s">
        <v>101</v>
      </c>
      <c r="H305" s="72" t="s">
        <v>123</v>
      </c>
      <c r="I305" s="91"/>
      <c r="J305" s="91" t="str">
        <f>LEFT(empreend_Fehidro[[#This Row],[suBpdc classifc]],1)</f>
        <v/>
      </c>
      <c r="K305" s="85"/>
      <c r="L305" s="291"/>
    </row>
    <row r="306" spans="1:12" s="69" customFormat="1" ht="14.4">
      <c r="A306" s="93">
        <f>VLOOKUP(E306,Dim_Colegiado[],2,FALSE)</f>
        <v>4</v>
      </c>
      <c r="B306" s="94" t="str">
        <f t="shared" si="4"/>
        <v>2019</v>
      </c>
      <c r="C306" s="76" t="s">
        <v>453</v>
      </c>
      <c r="D306" s="95" t="s">
        <v>408</v>
      </c>
      <c r="E306" s="95" t="s">
        <v>137</v>
      </c>
      <c r="F306" s="92">
        <v>132758.32999999999</v>
      </c>
      <c r="G306" s="82" t="s">
        <v>101</v>
      </c>
      <c r="H306" s="72" t="s">
        <v>123</v>
      </c>
      <c r="I306" s="95"/>
      <c r="J306" s="95" t="str">
        <f>LEFT(empreend_Fehidro[[#This Row],[suBpdc classifc]],1)</f>
        <v/>
      </c>
      <c r="K306" s="86"/>
      <c r="L306" s="292"/>
    </row>
    <row r="307" spans="1:12" s="69" customFormat="1" ht="14.4">
      <c r="A307" s="89">
        <f>VLOOKUP(E307,Dim_Colegiado[],2,FALSE)</f>
        <v>4</v>
      </c>
      <c r="B307" s="90" t="str">
        <f t="shared" si="4"/>
        <v>2019</v>
      </c>
      <c r="C307" s="75" t="s">
        <v>454</v>
      </c>
      <c r="D307" s="91" t="s">
        <v>408</v>
      </c>
      <c r="E307" s="91" t="s">
        <v>137</v>
      </c>
      <c r="F307" s="88">
        <v>261939.84</v>
      </c>
      <c r="G307" s="82" t="s">
        <v>101</v>
      </c>
      <c r="H307" s="72" t="s">
        <v>123</v>
      </c>
      <c r="I307" s="91"/>
      <c r="J307" s="91" t="str">
        <f>LEFT(empreend_Fehidro[[#This Row],[suBpdc classifc]],1)</f>
        <v/>
      </c>
      <c r="K307" s="85"/>
      <c r="L307" s="291"/>
    </row>
    <row r="308" spans="1:12" s="69" customFormat="1" ht="14.4">
      <c r="A308" s="93">
        <f>VLOOKUP(E308,Dim_Colegiado[],2,FALSE)</f>
        <v>4</v>
      </c>
      <c r="B308" s="94" t="str">
        <f t="shared" si="4"/>
        <v>2019</v>
      </c>
      <c r="C308" s="76" t="s">
        <v>455</v>
      </c>
      <c r="D308" s="95" t="s">
        <v>408</v>
      </c>
      <c r="E308" s="95" t="s">
        <v>137</v>
      </c>
      <c r="F308" s="92">
        <v>372480.15</v>
      </c>
      <c r="G308" s="82" t="s">
        <v>101</v>
      </c>
      <c r="H308" s="72" t="s">
        <v>123</v>
      </c>
      <c r="I308" s="95"/>
      <c r="J308" s="95" t="str">
        <f>LEFT(empreend_Fehidro[[#This Row],[suBpdc classifc]],1)</f>
        <v/>
      </c>
      <c r="K308" s="86"/>
      <c r="L308" s="292"/>
    </row>
    <row r="309" spans="1:12" s="69" customFormat="1" ht="14.4">
      <c r="A309" s="89">
        <f>VLOOKUP(E309,Dim_Colegiado[],2,FALSE)</f>
        <v>4</v>
      </c>
      <c r="B309" s="90" t="str">
        <f t="shared" si="4"/>
        <v>2019</v>
      </c>
      <c r="C309" s="75" t="s">
        <v>456</v>
      </c>
      <c r="D309" s="91" t="s">
        <v>408</v>
      </c>
      <c r="E309" s="91" t="s">
        <v>137</v>
      </c>
      <c r="F309" s="88">
        <v>619723.73</v>
      </c>
      <c r="G309" s="82" t="s">
        <v>101</v>
      </c>
      <c r="H309" s="72" t="s">
        <v>123</v>
      </c>
      <c r="I309" s="91"/>
      <c r="J309" s="91" t="str">
        <f>LEFT(empreend_Fehidro[[#This Row],[suBpdc classifc]],1)</f>
        <v/>
      </c>
      <c r="K309" s="85"/>
      <c r="L309" s="291"/>
    </row>
    <row r="310" spans="1:12" s="69" customFormat="1" ht="14.4">
      <c r="A310" s="93">
        <f>VLOOKUP(E310,Dim_Colegiado[],2,FALSE)</f>
        <v>4</v>
      </c>
      <c r="B310" s="94" t="str">
        <f t="shared" si="4"/>
        <v>2019</v>
      </c>
      <c r="C310" s="76" t="s">
        <v>457</v>
      </c>
      <c r="D310" s="95" t="s">
        <v>408</v>
      </c>
      <c r="E310" s="95" t="s">
        <v>137</v>
      </c>
      <c r="F310" s="92">
        <v>662264</v>
      </c>
      <c r="G310" s="82" t="s">
        <v>101</v>
      </c>
      <c r="H310" s="72" t="s">
        <v>123</v>
      </c>
      <c r="I310" s="95"/>
      <c r="J310" s="95" t="str">
        <f>LEFT(empreend_Fehidro[[#This Row],[suBpdc classifc]],1)</f>
        <v/>
      </c>
      <c r="K310" s="86"/>
      <c r="L310" s="292"/>
    </row>
    <row r="311" spans="1:12" s="69" customFormat="1" ht="14.4">
      <c r="A311" s="89">
        <f>VLOOKUP(E311,Dim_Colegiado[],2,FALSE)</f>
        <v>4</v>
      </c>
      <c r="B311" s="90" t="str">
        <f t="shared" si="4"/>
        <v>2019</v>
      </c>
      <c r="C311" s="75" t="s">
        <v>458</v>
      </c>
      <c r="D311" s="91" t="s">
        <v>408</v>
      </c>
      <c r="E311" s="91" t="s">
        <v>137</v>
      </c>
      <c r="F311" s="88">
        <v>608085.72</v>
      </c>
      <c r="G311" s="82" t="s">
        <v>101</v>
      </c>
      <c r="H311" s="72" t="s">
        <v>123</v>
      </c>
      <c r="I311" s="91"/>
      <c r="J311" s="91" t="str">
        <f>LEFT(empreend_Fehidro[[#This Row],[suBpdc classifc]],1)</f>
        <v/>
      </c>
      <c r="K311" s="85"/>
      <c r="L311" s="291"/>
    </row>
    <row r="312" spans="1:12" s="69" customFormat="1" ht="14.4">
      <c r="A312" s="93">
        <f>VLOOKUP(E312,Dim_Colegiado[],2,FALSE)</f>
        <v>4</v>
      </c>
      <c r="B312" s="94" t="str">
        <f t="shared" si="4"/>
        <v>2019</v>
      </c>
      <c r="C312" s="76" t="s">
        <v>459</v>
      </c>
      <c r="D312" s="95" t="s">
        <v>408</v>
      </c>
      <c r="E312" s="95" t="s">
        <v>137</v>
      </c>
      <c r="F312" s="92">
        <v>664239.96</v>
      </c>
      <c r="G312" s="82" t="s">
        <v>101</v>
      </c>
      <c r="H312" s="72" t="s">
        <v>123</v>
      </c>
      <c r="I312" s="95"/>
      <c r="J312" s="95" t="str">
        <f>LEFT(empreend_Fehidro[[#This Row],[suBpdc classifc]],1)</f>
        <v/>
      </c>
      <c r="K312" s="86"/>
      <c r="L312" s="292"/>
    </row>
    <row r="313" spans="1:12" s="69" customFormat="1" ht="14.4">
      <c r="A313" s="89">
        <f>VLOOKUP(E313,Dim_Colegiado[],2,FALSE)</f>
        <v>4</v>
      </c>
      <c r="B313" s="90" t="str">
        <f t="shared" si="4"/>
        <v>2019</v>
      </c>
      <c r="C313" s="75" t="s">
        <v>460</v>
      </c>
      <c r="D313" s="91" t="s">
        <v>408</v>
      </c>
      <c r="E313" s="91" t="s">
        <v>137</v>
      </c>
      <c r="F313" s="88">
        <v>664964.9</v>
      </c>
      <c r="G313" s="82" t="s">
        <v>101</v>
      </c>
      <c r="H313" s="72" t="s">
        <v>123</v>
      </c>
      <c r="I313" s="91"/>
      <c r="J313" s="91" t="str">
        <f>LEFT(empreend_Fehidro[[#This Row],[suBpdc classifc]],1)</f>
        <v/>
      </c>
      <c r="K313" s="85"/>
      <c r="L313" s="291"/>
    </row>
    <row r="314" spans="1:12" s="69" customFormat="1" ht="14.4">
      <c r="A314" s="89">
        <f>VLOOKUP(E314,Dim_Colegiado[],2,FALSE)</f>
        <v>5</v>
      </c>
      <c r="B314" s="90" t="str">
        <f t="shared" si="4"/>
        <v>2019</v>
      </c>
      <c r="C314" s="75" t="s">
        <v>461</v>
      </c>
      <c r="D314" s="91" t="s">
        <v>397</v>
      </c>
      <c r="E314" s="91" t="s">
        <v>155</v>
      </c>
      <c r="F314" s="88">
        <v>6320352.04</v>
      </c>
      <c r="G314" s="82" t="s">
        <v>101</v>
      </c>
      <c r="H314" s="72" t="s">
        <v>123</v>
      </c>
      <c r="I314" s="91"/>
      <c r="J314" s="91" t="str">
        <f>LEFT(empreend_Fehidro[[#This Row],[suBpdc classifc]],1)</f>
        <v/>
      </c>
      <c r="K314" s="85"/>
      <c r="L314" s="291"/>
    </row>
    <row r="315" spans="1:12" s="69" customFormat="1" ht="14.4">
      <c r="A315" s="78">
        <f>VLOOKUP(E315,Dim_Colegiado[],2,FALSE)</f>
        <v>5</v>
      </c>
      <c r="B315" s="67" t="str">
        <f t="shared" si="4"/>
        <v>2019</v>
      </c>
      <c r="C315" s="74" t="s">
        <v>462</v>
      </c>
      <c r="D315" s="68" t="s">
        <v>397</v>
      </c>
      <c r="E315" s="68" t="s">
        <v>155</v>
      </c>
      <c r="F315" s="92">
        <v>846196.29</v>
      </c>
      <c r="G315" s="82" t="s">
        <v>101</v>
      </c>
      <c r="H315" s="72" t="s">
        <v>123</v>
      </c>
      <c r="I315" s="68"/>
      <c r="J315" s="68" t="str">
        <f>LEFT(empreend_Fehidro[[#This Row],[suBpdc classifc]],1)</f>
        <v/>
      </c>
      <c r="K315" s="86"/>
      <c r="L315" s="292"/>
    </row>
    <row r="316" spans="1:12" s="69" customFormat="1" ht="14.4">
      <c r="A316" s="89">
        <f>VLOOKUP(E316,Dim_Colegiado[],2,FALSE)</f>
        <v>5</v>
      </c>
      <c r="B316" s="90" t="str">
        <f t="shared" si="4"/>
        <v>2019</v>
      </c>
      <c r="C316" s="75" t="s">
        <v>463</v>
      </c>
      <c r="D316" s="91" t="s">
        <v>397</v>
      </c>
      <c r="E316" s="91" t="s">
        <v>155</v>
      </c>
      <c r="F316" s="88">
        <v>3048049.73</v>
      </c>
      <c r="G316" s="82" t="s">
        <v>101</v>
      </c>
      <c r="H316" s="72" t="s">
        <v>123</v>
      </c>
      <c r="I316" s="91"/>
      <c r="J316" s="91" t="str">
        <f>LEFT(empreend_Fehidro[[#This Row],[suBpdc classifc]],1)</f>
        <v/>
      </c>
      <c r="K316" s="85"/>
      <c r="L316" s="291"/>
    </row>
    <row r="317" spans="1:12" s="69" customFormat="1" ht="14.4">
      <c r="A317" s="78">
        <f>VLOOKUP(E317,Dim_Colegiado[],2,FALSE)</f>
        <v>5</v>
      </c>
      <c r="B317" s="67" t="str">
        <f t="shared" si="4"/>
        <v>2019</v>
      </c>
      <c r="C317" s="74" t="s">
        <v>464</v>
      </c>
      <c r="D317" s="68" t="s">
        <v>408</v>
      </c>
      <c r="E317" s="68" t="s">
        <v>155</v>
      </c>
      <c r="F317" s="92">
        <v>330082.09000000003</v>
      </c>
      <c r="G317" s="82" t="s">
        <v>101</v>
      </c>
      <c r="H317" s="72" t="s">
        <v>123</v>
      </c>
      <c r="I317" s="68"/>
      <c r="J317" s="68" t="str">
        <f>LEFT(empreend_Fehidro[[#This Row],[suBpdc classifc]],1)</f>
        <v/>
      </c>
      <c r="K317" s="86"/>
      <c r="L317" s="292"/>
    </row>
    <row r="318" spans="1:12" s="69" customFormat="1" ht="14.4">
      <c r="A318" s="89">
        <f>VLOOKUP(E318,Dim_Colegiado[],2,FALSE)</f>
        <v>5</v>
      </c>
      <c r="B318" s="90" t="str">
        <f t="shared" si="4"/>
        <v>2019</v>
      </c>
      <c r="C318" s="75" t="s">
        <v>465</v>
      </c>
      <c r="D318" s="91" t="s">
        <v>408</v>
      </c>
      <c r="E318" s="91" t="s">
        <v>155</v>
      </c>
      <c r="F318" s="88">
        <v>6028789.8399999999</v>
      </c>
      <c r="G318" s="82" t="s">
        <v>101</v>
      </c>
      <c r="H318" s="72" t="s">
        <v>123</v>
      </c>
      <c r="I318" s="91"/>
      <c r="J318" s="91" t="str">
        <f>LEFT(empreend_Fehidro[[#This Row],[suBpdc classifc]],1)</f>
        <v/>
      </c>
      <c r="K318" s="85"/>
      <c r="L318" s="291"/>
    </row>
    <row r="319" spans="1:12" s="69" customFormat="1" ht="14.4">
      <c r="A319" s="78">
        <f>VLOOKUP(E319,Dim_Colegiado[],2,FALSE)</f>
        <v>5</v>
      </c>
      <c r="B319" s="67" t="str">
        <f t="shared" si="4"/>
        <v>2019</v>
      </c>
      <c r="C319" s="74" t="s">
        <v>466</v>
      </c>
      <c r="D319" s="68" t="s">
        <v>408</v>
      </c>
      <c r="E319" s="68" t="s">
        <v>155</v>
      </c>
      <c r="F319" s="92">
        <v>9400594.2200000007</v>
      </c>
      <c r="G319" s="82" t="s">
        <v>101</v>
      </c>
      <c r="H319" s="72" t="s">
        <v>123</v>
      </c>
      <c r="I319" s="68"/>
      <c r="J319" s="68" t="str">
        <f>LEFT(empreend_Fehidro[[#This Row],[suBpdc classifc]],1)</f>
        <v/>
      </c>
      <c r="K319" s="86"/>
      <c r="L319" s="292"/>
    </row>
    <row r="320" spans="1:12" s="69" customFormat="1" ht="14.4">
      <c r="A320" s="89">
        <f>VLOOKUP(E320,Dim_Colegiado[],2,FALSE)</f>
        <v>6</v>
      </c>
      <c r="B320" s="90" t="str">
        <f t="shared" si="4"/>
        <v>2019</v>
      </c>
      <c r="C320" s="75" t="s">
        <v>467</v>
      </c>
      <c r="D320" s="91" t="s">
        <v>408</v>
      </c>
      <c r="E320" s="91" t="s">
        <v>166</v>
      </c>
      <c r="F320" s="88">
        <v>2422462.2999999998</v>
      </c>
      <c r="G320" s="82" t="s">
        <v>101</v>
      </c>
      <c r="H320" s="72" t="s">
        <v>123</v>
      </c>
      <c r="I320" s="91"/>
      <c r="J320" s="91" t="str">
        <f>LEFT(empreend_Fehidro[[#This Row],[suBpdc classifc]],1)</f>
        <v/>
      </c>
      <c r="K320" s="85"/>
      <c r="L320" s="291"/>
    </row>
    <row r="321" spans="1:12" s="69" customFormat="1" ht="14.4">
      <c r="A321" s="78">
        <f>VLOOKUP(E321,Dim_Colegiado[],2,FALSE)</f>
        <v>6</v>
      </c>
      <c r="B321" s="67" t="str">
        <f t="shared" si="4"/>
        <v>2019</v>
      </c>
      <c r="C321" s="74" t="s">
        <v>468</v>
      </c>
      <c r="D321" s="68" t="s">
        <v>408</v>
      </c>
      <c r="E321" s="68" t="s">
        <v>166</v>
      </c>
      <c r="F321" s="92">
        <v>3698743.6</v>
      </c>
      <c r="G321" s="82" t="s">
        <v>101</v>
      </c>
      <c r="H321" s="72" t="s">
        <v>123</v>
      </c>
      <c r="I321" s="68"/>
      <c r="J321" s="68" t="str">
        <f>LEFT(empreend_Fehidro[[#This Row],[suBpdc classifc]],1)</f>
        <v/>
      </c>
      <c r="K321" s="86"/>
      <c r="L321" s="292"/>
    </row>
    <row r="322" spans="1:12" s="69" customFormat="1" ht="14.4">
      <c r="A322" s="89">
        <f>VLOOKUP(E322,Dim_Colegiado[],2,FALSE)</f>
        <v>6</v>
      </c>
      <c r="B322" s="90" t="str">
        <f t="shared" ref="B322:B385" si="5">LEFT(C322,4)</f>
        <v>2019</v>
      </c>
      <c r="C322" s="75" t="s">
        <v>469</v>
      </c>
      <c r="D322" s="91" t="s">
        <v>408</v>
      </c>
      <c r="E322" s="91" t="s">
        <v>166</v>
      </c>
      <c r="F322" s="88">
        <v>13499626.65</v>
      </c>
      <c r="G322" s="82" t="s">
        <v>101</v>
      </c>
      <c r="H322" s="72" t="s">
        <v>123</v>
      </c>
      <c r="I322" s="91"/>
      <c r="J322" s="91" t="str">
        <f>LEFT(empreend_Fehidro[[#This Row],[suBpdc classifc]],1)</f>
        <v/>
      </c>
      <c r="K322" s="85"/>
      <c r="L322" s="291"/>
    </row>
    <row r="323" spans="1:12" s="69" customFormat="1" ht="14.4">
      <c r="A323" s="78">
        <f>VLOOKUP(E323,Dim_Colegiado[],2,FALSE)</f>
        <v>6</v>
      </c>
      <c r="B323" s="67" t="str">
        <f t="shared" si="5"/>
        <v>2019</v>
      </c>
      <c r="C323" s="74" t="s">
        <v>470</v>
      </c>
      <c r="D323" s="68" t="s">
        <v>408</v>
      </c>
      <c r="E323" s="68" t="s">
        <v>166</v>
      </c>
      <c r="F323" s="92">
        <v>324639</v>
      </c>
      <c r="G323" s="82" t="s">
        <v>101</v>
      </c>
      <c r="H323" s="72" t="s">
        <v>123</v>
      </c>
      <c r="I323" s="68"/>
      <c r="J323" s="68" t="str">
        <f>LEFT(empreend_Fehidro[[#This Row],[suBpdc classifc]],1)</f>
        <v/>
      </c>
      <c r="K323" s="86"/>
      <c r="L323" s="292"/>
    </row>
    <row r="324" spans="1:12" s="69" customFormat="1" ht="14.4">
      <c r="A324" s="89">
        <f>VLOOKUP(E324,Dim_Colegiado[],2,FALSE)</f>
        <v>6</v>
      </c>
      <c r="B324" s="90" t="str">
        <f t="shared" si="5"/>
        <v>2019</v>
      </c>
      <c r="C324" s="75" t="s">
        <v>471</v>
      </c>
      <c r="D324" s="91" t="s">
        <v>408</v>
      </c>
      <c r="E324" s="91" t="s">
        <v>166</v>
      </c>
      <c r="F324" s="88">
        <v>1018432.48</v>
      </c>
      <c r="G324" s="82" t="s">
        <v>101</v>
      </c>
      <c r="H324" s="72" t="s">
        <v>123</v>
      </c>
      <c r="I324" s="91"/>
      <c r="J324" s="91" t="str">
        <f>LEFT(empreend_Fehidro[[#This Row],[suBpdc classifc]],1)</f>
        <v/>
      </c>
      <c r="K324" s="85"/>
      <c r="L324" s="291"/>
    </row>
    <row r="325" spans="1:12" s="69" customFormat="1" ht="14.4">
      <c r="A325" s="78">
        <f>VLOOKUP(E325,Dim_Colegiado[],2,FALSE)</f>
        <v>6</v>
      </c>
      <c r="B325" s="67" t="str">
        <f t="shared" si="5"/>
        <v>2019</v>
      </c>
      <c r="C325" s="74" t="s">
        <v>472</v>
      </c>
      <c r="D325" s="68" t="s">
        <v>408</v>
      </c>
      <c r="E325" s="68" t="s">
        <v>166</v>
      </c>
      <c r="F325" s="92">
        <v>1052000</v>
      </c>
      <c r="G325" s="82" t="s">
        <v>101</v>
      </c>
      <c r="H325" s="72" t="s">
        <v>123</v>
      </c>
      <c r="I325" s="68"/>
      <c r="J325" s="68" t="str">
        <f>LEFT(empreend_Fehidro[[#This Row],[suBpdc classifc]],1)</f>
        <v/>
      </c>
      <c r="K325" s="86"/>
      <c r="L325" s="292"/>
    </row>
    <row r="326" spans="1:12" s="69" customFormat="1" ht="14.4">
      <c r="A326" s="89">
        <f>VLOOKUP(E326,Dim_Colegiado[],2,FALSE)</f>
        <v>6</v>
      </c>
      <c r="B326" s="90" t="str">
        <f t="shared" si="5"/>
        <v>2019</v>
      </c>
      <c r="C326" s="75" t="s">
        <v>473</v>
      </c>
      <c r="D326" s="91" t="s">
        <v>408</v>
      </c>
      <c r="E326" s="91" t="s">
        <v>166</v>
      </c>
      <c r="F326" s="88">
        <v>1065690.19</v>
      </c>
      <c r="G326" s="82" t="s">
        <v>101</v>
      </c>
      <c r="H326" s="72" t="s">
        <v>123</v>
      </c>
      <c r="I326" s="91"/>
      <c r="J326" s="91" t="str">
        <f>LEFT(empreend_Fehidro[[#This Row],[suBpdc classifc]],1)</f>
        <v/>
      </c>
      <c r="K326" s="85"/>
      <c r="L326" s="291"/>
    </row>
    <row r="327" spans="1:12" s="69" customFormat="1" ht="14.4">
      <c r="A327" s="78">
        <f>VLOOKUP(E327,Dim_Colegiado[],2,FALSE)</f>
        <v>6</v>
      </c>
      <c r="B327" s="67" t="str">
        <f t="shared" si="5"/>
        <v>2019</v>
      </c>
      <c r="C327" s="74" t="s">
        <v>474</v>
      </c>
      <c r="D327" s="68" t="s">
        <v>408</v>
      </c>
      <c r="E327" s="68" t="s">
        <v>166</v>
      </c>
      <c r="F327" s="92">
        <v>1120640</v>
      </c>
      <c r="G327" s="82" t="s">
        <v>101</v>
      </c>
      <c r="H327" s="72" t="s">
        <v>123</v>
      </c>
      <c r="I327" s="68"/>
      <c r="J327" s="68" t="str">
        <f>LEFT(empreend_Fehidro[[#This Row],[suBpdc classifc]],1)</f>
        <v/>
      </c>
      <c r="K327" s="86"/>
      <c r="L327" s="292"/>
    </row>
    <row r="328" spans="1:12" s="69" customFormat="1" ht="14.4">
      <c r="A328" s="89">
        <f>VLOOKUP(E328,Dim_Colegiado[],2,FALSE)</f>
        <v>6</v>
      </c>
      <c r="B328" s="90" t="str">
        <f t="shared" si="5"/>
        <v>2019</v>
      </c>
      <c r="C328" s="75" t="s">
        <v>475</v>
      </c>
      <c r="D328" s="91" t="s">
        <v>408</v>
      </c>
      <c r="E328" s="91" t="s">
        <v>166</v>
      </c>
      <c r="F328" s="88">
        <v>1129660</v>
      </c>
      <c r="G328" s="82" t="s">
        <v>101</v>
      </c>
      <c r="H328" s="72" t="s">
        <v>123</v>
      </c>
      <c r="I328" s="91"/>
      <c r="J328" s="91" t="str">
        <f>LEFT(empreend_Fehidro[[#This Row],[suBpdc classifc]],1)</f>
        <v/>
      </c>
      <c r="K328" s="85"/>
      <c r="L328" s="291"/>
    </row>
    <row r="329" spans="1:12" s="69" customFormat="1" ht="14.4">
      <c r="A329" s="78">
        <f>VLOOKUP(E329,Dim_Colegiado[],2,FALSE)</f>
        <v>6</v>
      </c>
      <c r="B329" s="67" t="str">
        <f t="shared" si="5"/>
        <v>2019</v>
      </c>
      <c r="C329" s="74" t="s">
        <v>476</v>
      </c>
      <c r="D329" s="68" t="s">
        <v>408</v>
      </c>
      <c r="E329" s="68" t="s">
        <v>166</v>
      </c>
      <c r="F329" s="92">
        <v>1192518.7</v>
      </c>
      <c r="G329" s="82" t="s">
        <v>101</v>
      </c>
      <c r="H329" s="72" t="s">
        <v>123</v>
      </c>
      <c r="I329" s="68"/>
      <c r="J329" s="68" t="str">
        <f>LEFT(empreend_Fehidro[[#This Row],[suBpdc classifc]],1)</f>
        <v/>
      </c>
      <c r="K329" s="86"/>
      <c r="L329" s="292"/>
    </row>
    <row r="330" spans="1:12" s="69" customFormat="1" ht="14.4">
      <c r="A330" s="89">
        <f>VLOOKUP(E330,Dim_Colegiado[],2,FALSE)</f>
        <v>6</v>
      </c>
      <c r="B330" s="90" t="str">
        <f t="shared" si="5"/>
        <v>2019</v>
      </c>
      <c r="C330" s="75" t="s">
        <v>477</v>
      </c>
      <c r="D330" s="91" t="s">
        <v>408</v>
      </c>
      <c r="E330" s="91" t="s">
        <v>166</v>
      </c>
      <c r="F330" s="88">
        <v>1219859.76</v>
      </c>
      <c r="G330" s="82" t="s">
        <v>101</v>
      </c>
      <c r="H330" s="72" t="s">
        <v>123</v>
      </c>
      <c r="I330" s="91"/>
      <c r="J330" s="91" t="str">
        <f>LEFT(empreend_Fehidro[[#This Row],[suBpdc classifc]],1)</f>
        <v/>
      </c>
      <c r="K330" s="85"/>
      <c r="L330" s="291"/>
    </row>
    <row r="331" spans="1:12" s="69" customFormat="1" ht="14.4">
      <c r="A331" s="78">
        <f>VLOOKUP(E331,Dim_Colegiado[],2,FALSE)</f>
        <v>6</v>
      </c>
      <c r="B331" s="67" t="str">
        <f t="shared" si="5"/>
        <v>2019</v>
      </c>
      <c r="C331" s="74" t="s">
        <v>478</v>
      </c>
      <c r="D331" s="68" t="s">
        <v>408</v>
      </c>
      <c r="E331" s="68" t="s">
        <v>166</v>
      </c>
      <c r="F331" s="92">
        <v>1566119.84</v>
      </c>
      <c r="G331" s="82" t="s">
        <v>101</v>
      </c>
      <c r="H331" s="72" t="s">
        <v>123</v>
      </c>
      <c r="I331" s="68"/>
      <c r="J331" s="68" t="str">
        <f>LEFT(empreend_Fehidro[[#This Row],[suBpdc classifc]],1)</f>
        <v/>
      </c>
      <c r="K331" s="86"/>
      <c r="L331" s="292"/>
    </row>
    <row r="332" spans="1:12" s="69" customFormat="1" ht="14.4">
      <c r="A332" s="89">
        <f>VLOOKUP(E332,Dim_Colegiado[],2,FALSE)</f>
        <v>6</v>
      </c>
      <c r="B332" s="90" t="str">
        <f t="shared" si="5"/>
        <v>2019</v>
      </c>
      <c r="C332" s="75" t="s">
        <v>479</v>
      </c>
      <c r="D332" s="91" t="s">
        <v>408</v>
      </c>
      <c r="E332" s="91" t="s">
        <v>166</v>
      </c>
      <c r="F332" s="88">
        <v>1573182.69</v>
      </c>
      <c r="G332" s="82" t="s">
        <v>101</v>
      </c>
      <c r="H332" s="72" t="s">
        <v>123</v>
      </c>
      <c r="I332" s="91"/>
      <c r="J332" s="91" t="str">
        <f>LEFT(empreend_Fehidro[[#This Row],[suBpdc classifc]],1)</f>
        <v/>
      </c>
      <c r="K332" s="85"/>
      <c r="L332" s="291"/>
    </row>
    <row r="333" spans="1:12" s="69" customFormat="1" ht="14.4">
      <c r="A333" s="78">
        <f>VLOOKUP(E333,Dim_Colegiado[],2,FALSE)</f>
        <v>6</v>
      </c>
      <c r="B333" s="67" t="str">
        <f t="shared" si="5"/>
        <v>2019</v>
      </c>
      <c r="C333" s="74" t="s">
        <v>480</v>
      </c>
      <c r="D333" s="68" t="s">
        <v>408</v>
      </c>
      <c r="E333" s="68" t="s">
        <v>166</v>
      </c>
      <c r="F333" s="92">
        <v>1603163.15</v>
      </c>
      <c r="G333" s="82" t="s">
        <v>101</v>
      </c>
      <c r="H333" s="72" t="s">
        <v>123</v>
      </c>
      <c r="I333" s="68"/>
      <c r="J333" s="68" t="str">
        <f>LEFT(empreend_Fehidro[[#This Row],[suBpdc classifc]],1)</f>
        <v/>
      </c>
      <c r="K333" s="86"/>
      <c r="L333" s="292"/>
    </row>
    <row r="334" spans="1:12" s="69" customFormat="1" ht="14.4">
      <c r="A334" s="89">
        <f>VLOOKUP(E334,Dim_Colegiado[],2,FALSE)</f>
        <v>6</v>
      </c>
      <c r="B334" s="90" t="str">
        <f t="shared" si="5"/>
        <v>2019</v>
      </c>
      <c r="C334" s="75" t="s">
        <v>481</v>
      </c>
      <c r="D334" s="91" t="s">
        <v>408</v>
      </c>
      <c r="E334" s="91" t="s">
        <v>166</v>
      </c>
      <c r="F334" s="88">
        <v>2200331.5</v>
      </c>
      <c r="G334" s="82" t="s">
        <v>101</v>
      </c>
      <c r="H334" s="72" t="s">
        <v>123</v>
      </c>
      <c r="I334" s="91"/>
      <c r="J334" s="91" t="str">
        <f>LEFT(empreend_Fehidro[[#This Row],[suBpdc classifc]],1)</f>
        <v/>
      </c>
      <c r="K334" s="85"/>
      <c r="L334" s="291"/>
    </row>
    <row r="335" spans="1:12" s="141" customFormat="1" ht="11.25" customHeight="1">
      <c r="A335" s="78">
        <f>VLOOKUP(E335,Dim_Colegiado[],2,FALSE)</f>
        <v>6</v>
      </c>
      <c r="B335" s="67" t="str">
        <f t="shared" si="5"/>
        <v>2019</v>
      </c>
      <c r="C335" s="74" t="s">
        <v>482</v>
      </c>
      <c r="D335" s="68" t="s">
        <v>408</v>
      </c>
      <c r="E335" s="68" t="s">
        <v>166</v>
      </c>
      <c r="F335" s="92">
        <v>2203125.65</v>
      </c>
      <c r="G335" s="82" t="s">
        <v>101</v>
      </c>
      <c r="H335" s="72" t="s">
        <v>123</v>
      </c>
      <c r="I335" s="68"/>
      <c r="J335" s="68" t="str">
        <f>LEFT(empreend_Fehidro[[#This Row],[suBpdc classifc]],1)</f>
        <v/>
      </c>
      <c r="K335" s="86"/>
      <c r="L335" s="292"/>
    </row>
    <row r="336" spans="1:12" s="141" customFormat="1" ht="11.25" customHeight="1">
      <c r="A336" s="89">
        <f>VLOOKUP(E336,Dim_Colegiado[],2,FALSE)</f>
        <v>6</v>
      </c>
      <c r="B336" s="90" t="str">
        <f t="shared" si="5"/>
        <v>2019</v>
      </c>
      <c r="C336" s="75" t="s">
        <v>483</v>
      </c>
      <c r="D336" s="91" t="s">
        <v>408</v>
      </c>
      <c r="E336" s="91" t="s">
        <v>166</v>
      </c>
      <c r="F336" s="88">
        <v>2214267.0699999998</v>
      </c>
      <c r="G336" s="82" t="s">
        <v>101</v>
      </c>
      <c r="H336" s="72" t="s">
        <v>123</v>
      </c>
      <c r="I336" s="91"/>
      <c r="J336" s="91" t="str">
        <f>LEFT(empreend_Fehidro[[#This Row],[suBpdc classifc]],1)</f>
        <v/>
      </c>
      <c r="K336" s="85"/>
      <c r="L336" s="291"/>
    </row>
    <row r="337" spans="1:12" s="141" customFormat="1" ht="11.25" customHeight="1">
      <c r="A337" s="78">
        <f>VLOOKUP(E337,Dim_Colegiado[],2,FALSE)</f>
        <v>6</v>
      </c>
      <c r="B337" s="67" t="str">
        <f t="shared" si="5"/>
        <v>2019</v>
      </c>
      <c r="C337" s="74" t="s">
        <v>484</v>
      </c>
      <c r="D337" s="68" t="s">
        <v>408</v>
      </c>
      <c r="E337" s="68" t="s">
        <v>166</v>
      </c>
      <c r="F337" s="92">
        <v>2259000</v>
      </c>
      <c r="G337" s="82" t="s">
        <v>101</v>
      </c>
      <c r="H337" s="72" t="s">
        <v>123</v>
      </c>
      <c r="I337" s="68"/>
      <c r="J337" s="68" t="str">
        <f>LEFT(empreend_Fehidro[[#This Row],[suBpdc classifc]],1)</f>
        <v/>
      </c>
      <c r="K337" s="86"/>
      <c r="L337" s="292"/>
    </row>
    <row r="338" spans="1:12" s="141" customFormat="1" ht="11.25" customHeight="1">
      <c r="A338" s="89">
        <f>VLOOKUP(E338,Dim_Colegiado[],2,FALSE)</f>
        <v>6</v>
      </c>
      <c r="B338" s="90" t="str">
        <f t="shared" si="5"/>
        <v>2019</v>
      </c>
      <c r="C338" s="75" t="s">
        <v>485</v>
      </c>
      <c r="D338" s="91" t="s">
        <v>408</v>
      </c>
      <c r="E338" s="91" t="s">
        <v>166</v>
      </c>
      <c r="F338" s="88">
        <v>2423748.86</v>
      </c>
      <c r="G338" s="82" t="s">
        <v>101</v>
      </c>
      <c r="H338" s="72" t="s">
        <v>123</v>
      </c>
      <c r="I338" s="91"/>
      <c r="J338" s="91" t="str">
        <f>LEFT(empreend_Fehidro[[#This Row],[suBpdc classifc]],1)</f>
        <v/>
      </c>
      <c r="K338" s="85"/>
      <c r="L338" s="291"/>
    </row>
    <row r="339" spans="1:12" s="70" customFormat="1" ht="14.4">
      <c r="A339" s="78">
        <f>VLOOKUP(E339,Dim_Colegiado[],2,FALSE)</f>
        <v>6</v>
      </c>
      <c r="B339" s="67" t="str">
        <f t="shared" si="5"/>
        <v>2019</v>
      </c>
      <c r="C339" s="74" t="s">
        <v>486</v>
      </c>
      <c r="D339" s="68" t="s">
        <v>408</v>
      </c>
      <c r="E339" s="68" t="s">
        <v>166</v>
      </c>
      <c r="F339" s="92">
        <v>2992388.44</v>
      </c>
      <c r="G339" s="82" t="s">
        <v>101</v>
      </c>
      <c r="H339" s="72" t="s">
        <v>123</v>
      </c>
      <c r="I339" s="68"/>
      <c r="J339" s="68" t="str">
        <f>LEFT(empreend_Fehidro[[#This Row],[suBpdc classifc]],1)</f>
        <v/>
      </c>
      <c r="K339" s="86"/>
      <c r="L339" s="292"/>
    </row>
    <row r="340" spans="1:12" s="141" customFormat="1" ht="11.25" customHeight="1">
      <c r="A340" s="89">
        <f>VLOOKUP(E340,Dim_Colegiado[],2,FALSE)</f>
        <v>6</v>
      </c>
      <c r="B340" s="90" t="str">
        <f t="shared" si="5"/>
        <v>2019</v>
      </c>
      <c r="C340" s="75" t="s">
        <v>487</v>
      </c>
      <c r="D340" s="91" t="s">
        <v>408</v>
      </c>
      <c r="E340" s="91" t="s">
        <v>166</v>
      </c>
      <c r="F340" s="88">
        <v>3740634.01</v>
      </c>
      <c r="G340" s="82" t="s">
        <v>101</v>
      </c>
      <c r="H340" s="72" t="s">
        <v>123</v>
      </c>
      <c r="I340" s="91"/>
      <c r="J340" s="91" t="str">
        <f>LEFT(empreend_Fehidro[[#This Row],[suBpdc classifc]],1)</f>
        <v/>
      </c>
      <c r="K340" s="85"/>
      <c r="L340" s="291"/>
    </row>
    <row r="341" spans="1:12" s="141" customFormat="1" ht="11.25" customHeight="1">
      <c r="A341" s="78">
        <f>VLOOKUP(E341,Dim_Colegiado[],2,FALSE)</f>
        <v>6</v>
      </c>
      <c r="B341" s="67" t="str">
        <f t="shared" si="5"/>
        <v>2019</v>
      </c>
      <c r="C341" s="74" t="s">
        <v>488</v>
      </c>
      <c r="D341" s="68" t="s">
        <v>408</v>
      </c>
      <c r="E341" s="68" t="s">
        <v>166</v>
      </c>
      <c r="F341" s="92">
        <v>4113226.32</v>
      </c>
      <c r="G341" s="82" t="s">
        <v>101</v>
      </c>
      <c r="H341" s="72" t="s">
        <v>123</v>
      </c>
      <c r="I341" s="68"/>
      <c r="J341" s="68" t="str">
        <f>LEFT(empreend_Fehidro[[#This Row],[suBpdc classifc]],1)</f>
        <v/>
      </c>
      <c r="K341" s="86"/>
      <c r="L341" s="292"/>
    </row>
    <row r="342" spans="1:12" s="70" customFormat="1" ht="14.4">
      <c r="A342" s="93">
        <f>VLOOKUP(E342,Dim_Colegiado[],2,FALSE)</f>
        <v>7</v>
      </c>
      <c r="B342" s="94" t="str">
        <f t="shared" si="5"/>
        <v>2019</v>
      </c>
      <c r="C342" s="76" t="s">
        <v>489</v>
      </c>
      <c r="D342" s="95" t="s">
        <v>411</v>
      </c>
      <c r="E342" s="95" t="s">
        <v>196</v>
      </c>
      <c r="F342" s="92">
        <v>1191780</v>
      </c>
      <c r="G342" s="82" t="s">
        <v>101</v>
      </c>
      <c r="H342" s="72" t="s">
        <v>123</v>
      </c>
      <c r="I342" s="95"/>
      <c r="J342" s="95" t="str">
        <f>LEFT(empreend_Fehidro[[#This Row],[suBpdc classifc]],1)</f>
        <v/>
      </c>
      <c r="K342" s="86"/>
      <c r="L342" s="293"/>
    </row>
    <row r="343" spans="1:12" s="141" customFormat="1" ht="11.25" customHeight="1">
      <c r="A343" s="89">
        <f>VLOOKUP(E343,Dim_Colegiado[],2,FALSE)</f>
        <v>7</v>
      </c>
      <c r="B343" s="90" t="str">
        <f t="shared" si="5"/>
        <v>2019</v>
      </c>
      <c r="C343" s="75" t="s">
        <v>490</v>
      </c>
      <c r="D343" s="91" t="s">
        <v>411</v>
      </c>
      <c r="E343" s="91" t="s">
        <v>196</v>
      </c>
      <c r="F343" s="88">
        <v>300000</v>
      </c>
      <c r="G343" s="82" t="s">
        <v>101</v>
      </c>
      <c r="H343" s="72" t="s">
        <v>123</v>
      </c>
      <c r="I343" s="91"/>
      <c r="J343" s="91" t="str">
        <f>LEFT(empreend_Fehidro[[#This Row],[suBpdc classifc]],1)</f>
        <v/>
      </c>
      <c r="K343" s="85"/>
      <c r="L343" s="293"/>
    </row>
    <row r="344" spans="1:12" s="70" customFormat="1" ht="14.4">
      <c r="A344" s="93">
        <f>VLOOKUP(E344,Dim_Colegiado[],2,FALSE)</f>
        <v>7</v>
      </c>
      <c r="B344" s="94" t="str">
        <f t="shared" si="5"/>
        <v>2019</v>
      </c>
      <c r="C344" s="76" t="s">
        <v>491</v>
      </c>
      <c r="D344" s="95" t="s">
        <v>411</v>
      </c>
      <c r="E344" s="95" t="s">
        <v>196</v>
      </c>
      <c r="F344" s="92">
        <v>346000</v>
      </c>
      <c r="G344" s="82" t="s">
        <v>101</v>
      </c>
      <c r="H344" s="72" t="s">
        <v>123</v>
      </c>
      <c r="I344" s="95"/>
      <c r="J344" s="95" t="str">
        <f>LEFT(empreend_Fehidro[[#This Row],[suBpdc classifc]],1)</f>
        <v/>
      </c>
      <c r="K344" s="86"/>
      <c r="L344" s="293"/>
    </row>
    <row r="345" spans="1:12" s="141" customFormat="1" ht="11.25" customHeight="1">
      <c r="A345" s="89">
        <f>VLOOKUP(E345,Dim_Colegiado[],2,FALSE)</f>
        <v>7</v>
      </c>
      <c r="B345" s="90" t="str">
        <f t="shared" si="5"/>
        <v>2019</v>
      </c>
      <c r="C345" s="75" t="s">
        <v>492</v>
      </c>
      <c r="D345" s="91" t="s">
        <v>411</v>
      </c>
      <c r="E345" s="91" t="s">
        <v>196</v>
      </c>
      <c r="F345" s="88">
        <v>123216.25</v>
      </c>
      <c r="G345" s="82" t="s">
        <v>101</v>
      </c>
      <c r="H345" s="72" t="s">
        <v>123</v>
      </c>
      <c r="I345" s="91"/>
      <c r="J345" s="91" t="str">
        <f>LEFT(empreend_Fehidro[[#This Row],[suBpdc classifc]],1)</f>
        <v/>
      </c>
      <c r="K345" s="85"/>
      <c r="L345" s="293"/>
    </row>
    <row r="346" spans="1:12" s="141" customFormat="1" ht="11.25" customHeight="1">
      <c r="A346" s="93">
        <f>VLOOKUP(E346,Dim_Colegiado[],2,FALSE)</f>
        <v>7</v>
      </c>
      <c r="B346" s="94" t="str">
        <f t="shared" si="5"/>
        <v>2019</v>
      </c>
      <c r="C346" s="76" t="s">
        <v>493</v>
      </c>
      <c r="D346" s="95" t="s">
        <v>411</v>
      </c>
      <c r="E346" s="95" t="s">
        <v>196</v>
      </c>
      <c r="F346" s="92">
        <v>1837624.48</v>
      </c>
      <c r="G346" s="82" t="s">
        <v>101</v>
      </c>
      <c r="H346" s="72" t="s">
        <v>123</v>
      </c>
      <c r="I346" s="95"/>
      <c r="J346" s="95" t="str">
        <f>LEFT(empreend_Fehidro[[#This Row],[suBpdc classifc]],1)</f>
        <v/>
      </c>
      <c r="K346" s="86"/>
      <c r="L346" s="293"/>
    </row>
    <row r="347" spans="1:12" s="70" customFormat="1" ht="14.4">
      <c r="A347" s="89">
        <f>VLOOKUP(E347,Dim_Colegiado[],2,FALSE)</f>
        <v>7</v>
      </c>
      <c r="B347" s="90" t="str">
        <f t="shared" si="5"/>
        <v>2019</v>
      </c>
      <c r="C347" s="75" t="s">
        <v>494</v>
      </c>
      <c r="D347" s="91" t="s">
        <v>411</v>
      </c>
      <c r="E347" s="91" t="s">
        <v>196</v>
      </c>
      <c r="F347" s="88">
        <v>244585.2</v>
      </c>
      <c r="G347" s="82" t="s">
        <v>101</v>
      </c>
      <c r="H347" s="72" t="s">
        <v>123</v>
      </c>
      <c r="I347" s="91"/>
      <c r="J347" s="91" t="str">
        <f>LEFT(empreend_Fehidro[[#This Row],[suBpdc classifc]],1)</f>
        <v/>
      </c>
      <c r="K347" s="85"/>
      <c r="L347" s="293"/>
    </row>
    <row r="348" spans="1:12" s="70" customFormat="1" ht="14.4">
      <c r="A348" s="93">
        <f>VLOOKUP(E348,Dim_Colegiado[],2,FALSE)</f>
        <v>7</v>
      </c>
      <c r="B348" s="94" t="str">
        <f t="shared" si="5"/>
        <v>2019</v>
      </c>
      <c r="C348" s="76" t="s">
        <v>495</v>
      </c>
      <c r="D348" s="95" t="s">
        <v>411</v>
      </c>
      <c r="E348" s="95" t="s">
        <v>196</v>
      </c>
      <c r="F348" s="92">
        <v>1744389.72</v>
      </c>
      <c r="G348" s="82" t="s">
        <v>101</v>
      </c>
      <c r="H348" s="72" t="s">
        <v>123</v>
      </c>
      <c r="I348" s="95"/>
      <c r="J348" s="95" t="str">
        <f>LEFT(empreend_Fehidro[[#This Row],[suBpdc classifc]],1)</f>
        <v/>
      </c>
      <c r="K348" s="86"/>
      <c r="L348" s="293"/>
    </row>
    <row r="349" spans="1:12" s="141" customFormat="1" ht="11.25" customHeight="1">
      <c r="A349" s="89">
        <f>VLOOKUP(E349,Dim_Colegiado[],2,FALSE)</f>
        <v>7</v>
      </c>
      <c r="B349" s="90" t="str">
        <f t="shared" si="5"/>
        <v>2019</v>
      </c>
      <c r="C349" s="75" t="s">
        <v>496</v>
      </c>
      <c r="D349" s="91" t="s">
        <v>397</v>
      </c>
      <c r="E349" s="91" t="s">
        <v>196</v>
      </c>
      <c r="F349" s="88">
        <v>80000</v>
      </c>
      <c r="G349" s="82" t="s">
        <v>101</v>
      </c>
      <c r="H349" s="72" t="s">
        <v>123</v>
      </c>
      <c r="I349" s="91"/>
      <c r="J349" s="91" t="str">
        <f>LEFT(empreend_Fehidro[[#This Row],[suBpdc classifc]],1)</f>
        <v/>
      </c>
      <c r="K349" s="85"/>
      <c r="L349" s="293"/>
    </row>
    <row r="350" spans="1:12" s="70" customFormat="1" ht="14.4">
      <c r="A350" s="93">
        <f>VLOOKUP(E350,Dim_Colegiado[],2,FALSE)</f>
        <v>7</v>
      </c>
      <c r="B350" s="94" t="str">
        <f t="shared" si="5"/>
        <v>2019</v>
      </c>
      <c r="C350" s="76" t="s">
        <v>497</v>
      </c>
      <c r="D350" s="95" t="s">
        <v>397</v>
      </c>
      <c r="E350" s="95" t="s">
        <v>196</v>
      </c>
      <c r="F350" s="92">
        <v>229371.12</v>
      </c>
      <c r="G350" s="82" t="s">
        <v>101</v>
      </c>
      <c r="H350" s="72" t="s">
        <v>123</v>
      </c>
      <c r="I350" s="95"/>
      <c r="J350" s="95" t="str">
        <f>LEFT(empreend_Fehidro[[#This Row],[suBpdc classifc]],1)</f>
        <v/>
      </c>
      <c r="K350" s="86"/>
      <c r="L350" s="293"/>
    </row>
    <row r="351" spans="1:12" s="141" customFormat="1" ht="11.25" customHeight="1">
      <c r="A351" s="89">
        <f>VLOOKUP(E351,Dim_Colegiado[],2,FALSE)</f>
        <v>7</v>
      </c>
      <c r="B351" s="90" t="str">
        <f t="shared" si="5"/>
        <v>2019</v>
      </c>
      <c r="C351" s="75" t="s">
        <v>498</v>
      </c>
      <c r="D351" s="91" t="s">
        <v>397</v>
      </c>
      <c r="E351" s="91" t="s">
        <v>196</v>
      </c>
      <c r="F351" s="88">
        <v>230937.02</v>
      </c>
      <c r="G351" s="82" t="s">
        <v>101</v>
      </c>
      <c r="H351" s="72" t="s">
        <v>123</v>
      </c>
      <c r="I351" s="91"/>
      <c r="J351" s="91" t="str">
        <f>LEFT(empreend_Fehidro[[#This Row],[suBpdc classifc]],1)</f>
        <v/>
      </c>
      <c r="K351" s="85"/>
      <c r="L351" s="293"/>
    </row>
    <row r="352" spans="1:12" s="141" customFormat="1" ht="11.25" customHeight="1">
      <c r="A352" s="93">
        <f>VLOOKUP(E352,Dim_Colegiado[],2,FALSE)</f>
        <v>7</v>
      </c>
      <c r="B352" s="94" t="str">
        <f t="shared" si="5"/>
        <v>2019</v>
      </c>
      <c r="C352" s="76" t="s">
        <v>499</v>
      </c>
      <c r="D352" s="95" t="s">
        <v>397</v>
      </c>
      <c r="E352" s="95" t="s">
        <v>196</v>
      </c>
      <c r="F352" s="92">
        <v>399900</v>
      </c>
      <c r="G352" s="82" t="s">
        <v>101</v>
      </c>
      <c r="H352" s="72" t="s">
        <v>123</v>
      </c>
      <c r="I352" s="95"/>
      <c r="J352" s="95" t="str">
        <f>LEFT(empreend_Fehidro[[#This Row],[suBpdc classifc]],1)</f>
        <v/>
      </c>
      <c r="K352" s="86"/>
      <c r="L352" s="293"/>
    </row>
    <row r="353" spans="1:12" s="70" customFormat="1" ht="14.4">
      <c r="A353" s="89">
        <f>VLOOKUP(E353,Dim_Colegiado[],2,FALSE)</f>
        <v>7</v>
      </c>
      <c r="B353" s="90" t="str">
        <f t="shared" si="5"/>
        <v>2019</v>
      </c>
      <c r="C353" s="75" t="s">
        <v>500</v>
      </c>
      <c r="D353" s="91" t="s">
        <v>397</v>
      </c>
      <c r="E353" s="91" t="s">
        <v>196</v>
      </c>
      <c r="F353" s="88">
        <v>1026388</v>
      </c>
      <c r="G353" s="82" t="s">
        <v>101</v>
      </c>
      <c r="H353" s="72" t="s">
        <v>123</v>
      </c>
      <c r="I353" s="91"/>
      <c r="J353" s="91" t="str">
        <f>LEFT(empreend_Fehidro[[#This Row],[suBpdc classifc]],1)</f>
        <v/>
      </c>
      <c r="K353" s="85"/>
      <c r="L353" s="293"/>
    </row>
    <row r="354" spans="1:12" s="70" customFormat="1" ht="14.4">
      <c r="A354" s="93">
        <f>VLOOKUP(E354,Dim_Colegiado[],2,FALSE)</f>
        <v>7</v>
      </c>
      <c r="B354" s="94" t="str">
        <f t="shared" si="5"/>
        <v>2019</v>
      </c>
      <c r="C354" s="76" t="s">
        <v>501</v>
      </c>
      <c r="D354" s="95" t="s">
        <v>397</v>
      </c>
      <c r="E354" s="95" t="s">
        <v>196</v>
      </c>
      <c r="F354" s="92">
        <v>1200000</v>
      </c>
      <c r="G354" s="82" t="s">
        <v>101</v>
      </c>
      <c r="H354" s="72" t="s">
        <v>123</v>
      </c>
      <c r="I354" s="95"/>
      <c r="J354" s="95" t="str">
        <f>LEFT(empreend_Fehidro[[#This Row],[suBpdc classifc]],1)</f>
        <v/>
      </c>
      <c r="K354" s="86"/>
      <c r="L354" s="293"/>
    </row>
    <row r="355" spans="1:12" s="69" customFormat="1" ht="14.4">
      <c r="A355" s="89">
        <f>VLOOKUP(E355,Dim_Colegiado[],2,FALSE)</f>
        <v>7</v>
      </c>
      <c r="B355" s="90" t="str">
        <f t="shared" si="5"/>
        <v>2019</v>
      </c>
      <c r="C355" s="75" t="s">
        <v>502</v>
      </c>
      <c r="D355" s="91" t="s">
        <v>397</v>
      </c>
      <c r="E355" s="91" t="s">
        <v>196</v>
      </c>
      <c r="F355" s="88">
        <v>1200000</v>
      </c>
      <c r="G355" s="82" t="s">
        <v>101</v>
      </c>
      <c r="H355" s="72" t="s">
        <v>123</v>
      </c>
      <c r="I355" s="91"/>
      <c r="J355" s="91" t="str">
        <f>LEFT(empreend_Fehidro[[#This Row],[suBpdc classifc]],1)</f>
        <v/>
      </c>
      <c r="K355" s="85"/>
      <c r="L355" s="293"/>
    </row>
    <row r="356" spans="1:12" s="69" customFormat="1" ht="14.4">
      <c r="A356" s="93">
        <f>VLOOKUP(E356,Dim_Colegiado[],2,FALSE)</f>
        <v>7</v>
      </c>
      <c r="B356" s="94" t="str">
        <f t="shared" si="5"/>
        <v>2019</v>
      </c>
      <c r="C356" s="76" t="s">
        <v>503</v>
      </c>
      <c r="D356" s="95" t="s">
        <v>397</v>
      </c>
      <c r="E356" s="95" t="s">
        <v>196</v>
      </c>
      <c r="F356" s="92">
        <v>1200000</v>
      </c>
      <c r="G356" s="82" t="s">
        <v>101</v>
      </c>
      <c r="H356" s="72" t="s">
        <v>123</v>
      </c>
      <c r="I356" s="95"/>
      <c r="J356" s="95" t="str">
        <f>LEFT(empreend_Fehidro[[#This Row],[suBpdc classifc]],1)</f>
        <v/>
      </c>
      <c r="K356" s="86"/>
      <c r="L356" s="293"/>
    </row>
    <row r="357" spans="1:12" s="69" customFormat="1" ht="14.4">
      <c r="A357" s="89">
        <f>VLOOKUP(E357,Dim_Colegiado[],2,FALSE)</f>
        <v>7</v>
      </c>
      <c r="B357" s="90" t="str">
        <f t="shared" si="5"/>
        <v>2019</v>
      </c>
      <c r="C357" s="75" t="s">
        <v>504</v>
      </c>
      <c r="D357" s="91" t="s">
        <v>408</v>
      </c>
      <c r="E357" s="91" t="s">
        <v>196</v>
      </c>
      <c r="F357" s="88">
        <v>356575.38</v>
      </c>
      <c r="G357" s="82" t="s">
        <v>101</v>
      </c>
      <c r="H357" s="72" t="s">
        <v>123</v>
      </c>
      <c r="I357" s="91"/>
      <c r="J357" s="91" t="str">
        <f>LEFT(empreend_Fehidro[[#This Row],[suBpdc classifc]],1)</f>
        <v/>
      </c>
      <c r="K357" s="85"/>
      <c r="L357" s="293"/>
    </row>
    <row r="358" spans="1:12" s="69" customFormat="1" ht="14.4">
      <c r="A358" s="93">
        <f>VLOOKUP(E358,Dim_Colegiado[],2,FALSE)</f>
        <v>7</v>
      </c>
      <c r="B358" s="94" t="str">
        <f t="shared" si="5"/>
        <v>2019</v>
      </c>
      <c r="C358" s="76" t="s">
        <v>505</v>
      </c>
      <c r="D358" s="95" t="s">
        <v>408</v>
      </c>
      <c r="E358" s="95" t="s">
        <v>196</v>
      </c>
      <c r="F358" s="92">
        <v>122592.96000000001</v>
      </c>
      <c r="G358" s="82" t="s">
        <v>101</v>
      </c>
      <c r="H358" s="72" t="s">
        <v>123</v>
      </c>
      <c r="I358" s="95"/>
      <c r="J358" s="95" t="str">
        <f>LEFT(empreend_Fehidro[[#This Row],[suBpdc classifc]],1)</f>
        <v/>
      </c>
      <c r="K358" s="86"/>
      <c r="L358" s="293"/>
    </row>
    <row r="359" spans="1:12" s="69" customFormat="1" ht="14.4">
      <c r="A359" s="89">
        <f>VLOOKUP(E359,Dim_Colegiado[],2,FALSE)</f>
        <v>7</v>
      </c>
      <c r="B359" s="90" t="str">
        <f t="shared" si="5"/>
        <v>2019</v>
      </c>
      <c r="C359" s="75" t="s">
        <v>506</v>
      </c>
      <c r="D359" s="91" t="s">
        <v>408</v>
      </c>
      <c r="E359" s="91" t="s">
        <v>196</v>
      </c>
      <c r="F359" s="88">
        <v>123208</v>
      </c>
      <c r="G359" s="82" t="s">
        <v>101</v>
      </c>
      <c r="H359" s="72" t="s">
        <v>123</v>
      </c>
      <c r="I359" s="91"/>
      <c r="J359" s="91" t="str">
        <f>LEFT(empreend_Fehidro[[#This Row],[suBpdc classifc]],1)</f>
        <v/>
      </c>
      <c r="K359" s="85"/>
      <c r="L359" s="293"/>
    </row>
    <row r="360" spans="1:12" s="69" customFormat="1" ht="14.4">
      <c r="A360" s="93">
        <f>VLOOKUP(E360,Dim_Colegiado[],2,FALSE)</f>
        <v>7</v>
      </c>
      <c r="B360" s="94" t="str">
        <f t="shared" si="5"/>
        <v>2019</v>
      </c>
      <c r="C360" s="76" t="s">
        <v>507</v>
      </c>
      <c r="D360" s="95" t="s">
        <v>408</v>
      </c>
      <c r="E360" s="95" t="s">
        <v>196</v>
      </c>
      <c r="F360" s="92">
        <v>129169.93</v>
      </c>
      <c r="G360" s="82" t="s">
        <v>101</v>
      </c>
      <c r="H360" s="72" t="s">
        <v>123</v>
      </c>
      <c r="I360" s="95"/>
      <c r="J360" s="95" t="str">
        <f>LEFT(empreend_Fehidro[[#This Row],[suBpdc classifc]],1)</f>
        <v/>
      </c>
      <c r="K360" s="86"/>
      <c r="L360" s="293"/>
    </row>
    <row r="361" spans="1:12" s="69" customFormat="1" ht="14.4">
      <c r="A361" s="89">
        <f>VLOOKUP(E361,Dim_Colegiado[],2,FALSE)</f>
        <v>7</v>
      </c>
      <c r="B361" s="90" t="str">
        <f t="shared" si="5"/>
        <v>2019</v>
      </c>
      <c r="C361" s="75" t="s">
        <v>508</v>
      </c>
      <c r="D361" s="91" t="s">
        <v>408</v>
      </c>
      <c r="E361" s="91" t="s">
        <v>196</v>
      </c>
      <c r="F361" s="88">
        <v>179930.5</v>
      </c>
      <c r="G361" s="82" t="s">
        <v>101</v>
      </c>
      <c r="H361" s="72" t="s">
        <v>123</v>
      </c>
      <c r="I361" s="91"/>
      <c r="J361" s="91" t="str">
        <f>LEFT(empreend_Fehidro[[#This Row],[suBpdc classifc]],1)</f>
        <v/>
      </c>
      <c r="K361" s="85"/>
      <c r="L361" s="293"/>
    </row>
    <row r="362" spans="1:12" s="69" customFormat="1" ht="14.4">
      <c r="A362" s="93">
        <f>VLOOKUP(E362,Dim_Colegiado[],2,FALSE)</f>
        <v>7</v>
      </c>
      <c r="B362" s="94" t="str">
        <f t="shared" si="5"/>
        <v>2019</v>
      </c>
      <c r="C362" s="76" t="s">
        <v>509</v>
      </c>
      <c r="D362" s="95" t="s">
        <v>408</v>
      </c>
      <c r="E362" s="95" t="s">
        <v>196</v>
      </c>
      <c r="F362" s="92">
        <v>185140.02</v>
      </c>
      <c r="G362" s="82" t="s">
        <v>101</v>
      </c>
      <c r="H362" s="72" t="s">
        <v>123</v>
      </c>
      <c r="I362" s="95"/>
      <c r="J362" s="95" t="str">
        <f>LEFT(empreend_Fehidro[[#This Row],[suBpdc classifc]],1)</f>
        <v/>
      </c>
      <c r="K362" s="86"/>
      <c r="L362" s="293"/>
    </row>
    <row r="363" spans="1:12" s="69" customFormat="1" ht="14.4">
      <c r="A363" s="89">
        <f>VLOOKUP(E363,Dim_Colegiado[],2,FALSE)</f>
        <v>7</v>
      </c>
      <c r="B363" s="90" t="str">
        <f t="shared" si="5"/>
        <v>2019</v>
      </c>
      <c r="C363" s="75" t="s">
        <v>510</v>
      </c>
      <c r="D363" s="91" t="s">
        <v>408</v>
      </c>
      <c r="E363" s="91" t="s">
        <v>196</v>
      </c>
      <c r="F363" s="88">
        <v>215141.77</v>
      </c>
      <c r="G363" s="82" t="s">
        <v>101</v>
      </c>
      <c r="H363" s="72" t="s">
        <v>123</v>
      </c>
      <c r="I363" s="91"/>
      <c r="J363" s="91" t="str">
        <f>LEFT(empreend_Fehidro[[#This Row],[suBpdc classifc]],1)</f>
        <v/>
      </c>
      <c r="K363" s="85"/>
      <c r="L363" s="293"/>
    </row>
    <row r="364" spans="1:12" s="69" customFormat="1" ht="14.4">
      <c r="A364" s="93">
        <f>VLOOKUP(E364,Dim_Colegiado[],2,FALSE)</f>
        <v>7</v>
      </c>
      <c r="B364" s="94" t="str">
        <f t="shared" si="5"/>
        <v>2019</v>
      </c>
      <c r="C364" s="76" t="s">
        <v>511</v>
      </c>
      <c r="D364" s="95" t="s">
        <v>408</v>
      </c>
      <c r="E364" s="95" t="s">
        <v>196</v>
      </c>
      <c r="F364" s="92">
        <v>241963.4</v>
      </c>
      <c r="G364" s="82" t="s">
        <v>101</v>
      </c>
      <c r="H364" s="72" t="s">
        <v>123</v>
      </c>
      <c r="I364" s="95"/>
      <c r="J364" s="95" t="str">
        <f>LEFT(empreend_Fehidro[[#This Row],[suBpdc classifc]],1)</f>
        <v/>
      </c>
      <c r="K364" s="86"/>
      <c r="L364" s="293"/>
    </row>
    <row r="365" spans="1:12" s="69" customFormat="1" ht="14.4">
      <c r="A365" s="89">
        <f>VLOOKUP(E365,Dim_Colegiado[],2,FALSE)</f>
        <v>7</v>
      </c>
      <c r="B365" s="90" t="str">
        <f t="shared" si="5"/>
        <v>2019</v>
      </c>
      <c r="C365" s="75" t="s">
        <v>512</v>
      </c>
      <c r="D365" s="91" t="s">
        <v>408</v>
      </c>
      <c r="E365" s="91" t="s">
        <v>196</v>
      </c>
      <c r="F365" s="88">
        <v>340060</v>
      </c>
      <c r="G365" s="82" t="s">
        <v>101</v>
      </c>
      <c r="H365" s="72" t="s">
        <v>123</v>
      </c>
      <c r="I365" s="91"/>
      <c r="J365" s="91" t="str">
        <f>LEFT(empreend_Fehidro[[#This Row],[suBpdc classifc]],1)</f>
        <v/>
      </c>
      <c r="K365" s="85"/>
      <c r="L365" s="293"/>
    </row>
    <row r="366" spans="1:12" s="69" customFormat="1" ht="14.4">
      <c r="A366" s="93">
        <f>VLOOKUP(E366,Dim_Colegiado[],2,FALSE)</f>
        <v>7</v>
      </c>
      <c r="B366" s="94" t="str">
        <f t="shared" si="5"/>
        <v>2019</v>
      </c>
      <c r="C366" s="76" t="s">
        <v>513</v>
      </c>
      <c r="D366" s="95" t="s">
        <v>408</v>
      </c>
      <c r="E366" s="95" t="s">
        <v>196</v>
      </c>
      <c r="F366" s="92">
        <v>345740</v>
      </c>
      <c r="G366" s="82" t="s">
        <v>101</v>
      </c>
      <c r="H366" s="72" t="s">
        <v>123</v>
      </c>
      <c r="I366" s="95"/>
      <c r="J366" s="95" t="str">
        <f>LEFT(empreend_Fehidro[[#This Row],[suBpdc classifc]],1)</f>
        <v/>
      </c>
      <c r="K366" s="86"/>
      <c r="L366" s="293"/>
    </row>
    <row r="367" spans="1:12" s="69" customFormat="1" ht="14.4">
      <c r="A367" s="89">
        <f>VLOOKUP(E367,Dim_Colegiado[],2,FALSE)</f>
        <v>7</v>
      </c>
      <c r="B367" s="90" t="str">
        <f t="shared" si="5"/>
        <v>2019</v>
      </c>
      <c r="C367" s="75" t="s">
        <v>514</v>
      </c>
      <c r="D367" s="91" t="s">
        <v>408</v>
      </c>
      <c r="E367" s="91" t="s">
        <v>196</v>
      </c>
      <c r="F367" s="88">
        <v>399749.95</v>
      </c>
      <c r="G367" s="82" t="s">
        <v>101</v>
      </c>
      <c r="H367" s="72" t="s">
        <v>123</v>
      </c>
      <c r="I367" s="91"/>
      <c r="J367" s="91" t="str">
        <f>LEFT(empreend_Fehidro[[#This Row],[suBpdc classifc]],1)</f>
        <v/>
      </c>
      <c r="K367" s="85"/>
      <c r="L367" s="293"/>
    </row>
    <row r="368" spans="1:12" s="69" customFormat="1" ht="14.4">
      <c r="A368" s="93">
        <f>VLOOKUP(E368,Dim_Colegiado[],2,FALSE)</f>
        <v>7</v>
      </c>
      <c r="B368" s="94" t="str">
        <f t="shared" si="5"/>
        <v>2019</v>
      </c>
      <c r="C368" s="76" t="s">
        <v>515</v>
      </c>
      <c r="D368" s="95" t="s">
        <v>408</v>
      </c>
      <c r="E368" s="95" t="s">
        <v>196</v>
      </c>
      <c r="F368" s="92">
        <v>449600</v>
      </c>
      <c r="G368" s="82" t="s">
        <v>101</v>
      </c>
      <c r="H368" s="72" t="s">
        <v>123</v>
      </c>
      <c r="I368" s="95"/>
      <c r="J368" s="95" t="str">
        <f>LEFT(empreend_Fehidro[[#This Row],[suBpdc classifc]],1)</f>
        <v/>
      </c>
      <c r="K368" s="86"/>
      <c r="L368" s="293"/>
    </row>
    <row r="369" spans="1:12" s="69" customFormat="1" ht="14.4">
      <c r="A369" s="89">
        <f>VLOOKUP(E369,Dim_Colegiado[],2,FALSE)</f>
        <v>7</v>
      </c>
      <c r="B369" s="90" t="str">
        <f t="shared" si="5"/>
        <v>2019</v>
      </c>
      <c r="C369" s="75" t="s">
        <v>516</v>
      </c>
      <c r="D369" s="91" t="s">
        <v>408</v>
      </c>
      <c r="E369" s="91" t="s">
        <v>196</v>
      </c>
      <c r="F369" s="88">
        <v>498335.4</v>
      </c>
      <c r="G369" s="82" t="s">
        <v>101</v>
      </c>
      <c r="H369" s="72" t="s">
        <v>123</v>
      </c>
      <c r="I369" s="91"/>
      <c r="J369" s="91" t="str">
        <f>LEFT(empreend_Fehidro[[#This Row],[suBpdc classifc]],1)</f>
        <v/>
      </c>
      <c r="K369" s="85"/>
      <c r="L369" s="293"/>
    </row>
    <row r="370" spans="1:12" s="69" customFormat="1" ht="14.4">
      <c r="A370" s="93">
        <f>VLOOKUP(E370,Dim_Colegiado[],2,FALSE)</f>
        <v>7</v>
      </c>
      <c r="B370" s="94" t="str">
        <f t="shared" si="5"/>
        <v>2019</v>
      </c>
      <c r="C370" s="76" t="s">
        <v>517</v>
      </c>
      <c r="D370" s="95" t="s">
        <v>408</v>
      </c>
      <c r="E370" s="95" t="s">
        <v>196</v>
      </c>
      <c r="F370" s="92">
        <v>517843.22</v>
      </c>
      <c r="G370" s="82" t="s">
        <v>101</v>
      </c>
      <c r="H370" s="72" t="s">
        <v>123</v>
      </c>
      <c r="I370" s="95"/>
      <c r="J370" s="95" t="str">
        <f>LEFT(empreend_Fehidro[[#This Row],[suBpdc classifc]],1)</f>
        <v/>
      </c>
      <c r="K370" s="86"/>
      <c r="L370" s="293"/>
    </row>
    <row r="371" spans="1:12" s="69" customFormat="1" ht="14.4">
      <c r="A371" s="89">
        <f>VLOOKUP(E371,Dim_Colegiado[],2,FALSE)</f>
        <v>7</v>
      </c>
      <c r="B371" s="90" t="str">
        <f t="shared" si="5"/>
        <v>2019</v>
      </c>
      <c r="C371" s="75" t="s">
        <v>518</v>
      </c>
      <c r="D371" s="91" t="s">
        <v>408</v>
      </c>
      <c r="E371" s="91" t="s">
        <v>196</v>
      </c>
      <c r="F371" s="88">
        <v>722727.56</v>
      </c>
      <c r="G371" s="82" t="s">
        <v>101</v>
      </c>
      <c r="H371" s="72" t="s">
        <v>123</v>
      </c>
      <c r="I371" s="91"/>
      <c r="J371" s="91" t="str">
        <f>LEFT(empreend_Fehidro[[#This Row],[suBpdc classifc]],1)</f>
        <v/>
      </c>
      <c r="K371" s="85"/>
      <c r="L371" s="293"/>
    </row>
    <row r="372" spans="1:12" s="69" customFormat="1" ht="14.4">
      <c r="A372" s="93">
        <f>VLOOKUP(E372,Dim_Colegiado[],2,FALSE)</f>
        <v>7</v>
      </c>
      <c r="B372" s="94" t="str">
        <f t="shared" si="5"/>
        <v>2019</v>
      </c>
      <c r="C372" s="76" t="s">
        <v>519</v>
      </c>
      <c r="D372" s="95" t="s">
        <v>408</v>
      </c>
      <c r="E372" s="95" t="s">
        <v>196</v>
      </c>
      <c r="F372" s="92">
        <v>995000</v>
      </c>
      <c r="G372" s="82" t="s">
        <v>101</v>
      </c>
      <c r="H372" s="72" t="s">
        <v>123</v>
      </c>
      <c r="I372" s="95"/>
      <c r="J372" s="95" t="str">
        <f>LEFT(empreend_Fehidro[[#This Row],[suBpdc classifc]],1)</f>
        <v/>
      </c>
      <c r="K372" s="86"/>
      <c r="L372" s="293"/>
    </row>
    <row r="373" spans="1:12" s="69" customFormat="1" ht="14.4">
      <c r="A373" s="89">
        <f>VLOOKUP(E373,Dim_Colegiado[],2,FALSE)</f>
        <v>7</v>
      </c>
      <c r="B373" s="90" t="str">
        <f t="shared" si="5"/>
        <v>2019</v>
      </c>
      <c r="C373" s="75" t="s">
        <v>520</v>
      </c>
      <c r="D373" s="91" t="s">
        <v>408</v>
      </c>
      <c r="E373" s="91" t="s">
        <v>196</v>
      </c>
      <c r="F373" s="88">
        <v>1072532.94</v>
      </c>
      <c r="G373" s="82" t="s">
        <v>101</v>
      </c>
      <c r="H373" s="72" t="s">
        <v>123</v>
      </c>
      <c r="I373" s="91"/>
      <c r="J373" s="91" t="str">
        <f>LEFT(empreend_Fehidro[[#This Row],[suBpdc classifc]],1)</f>
        <v/>
      </c>
      <c r="K373" s="85"/>
      <c r="L373" s="293"/>
    </row>
    <row r="374" spans="1:12" s="69" customFormat="1" ht="14.4">
      <c r="A374" s="93">
        <f>VLOOKUP(E374,Dim_Colegiado[],2,FALSE)</f>
        <v>7</v>
      </c>
      <c r="B374" s="94" t="str">
        <f t="shared" si="5"/>
        <v>2019</v>
      </c>
      <c r="C374" s="76" t="s">
        <v>521</v>
      </c>
      <c r="D374" s="95" t="s">
        <v>408</v>
      </c>
      <c r="E374" s="95" t="s">
        <v>196</v>
      </c>
      <c r="F374" s="92">
        <v>1072532.3</v>
      </c>
      <c r="G374" s="82" t="s">
        <v>101</v>
      </c>
      <c r="H374" s="72" t="s">
        <v>123</v>
      </c>
      <c r="I374" s="95"/>
      <c r="J374" s="95" t="str">
        <f>LEFT(empreend_Fehidro[[#This Row],[suBpdc classifc]],1)</f>
        <v/>
      </c>
      <c r="K374" s="86"/>
      <c r="L374" s="293"/>
    </row>
    <row r="375" spans="1:12" s="69" customFormat="1" ht="14.4">
      <c r="A375" s="89">
        <f>VLOOKUP(E375,Dim_Colegiado[],2,FALSE)</f>
        <v>7</v>
      </c>
      <c r="B375" s="90" t="str">
        <f t="shared" si="5"/>
        <v>2019</v>
      </c>
      <c r="C375" s="75" t="s">
        <v>522</v>
      </c>
      <c r="D375" s="91" t="s">
        <v>408</v>
      </c>
      <c r="E375" s="91" t="s">
        <v>196</v>
      </c>
      <c r="F375" s="88">
        <v>1137017.6000000001</v>
      </c>
      <c r="G375" s="82" t="s">
        <v>101</v>
      </c>
      <c r="H375" s="72" t="s">
        <v>123</v>
      </c>
      <c r="I375" s="91"/>
      <c r="J375" s="91" t="str">
        <f>LEFT(empreend_Fehidro[[#This Row],[suBpdc classifc]],1)</f>
        <v/>
      </c>
      <c r="K375" s="85"/>
      <c r="L375" s="293"/>
    </row>
    <row r="376" spans="1:12" s="69" customFormat="1" ht="14.4">
      <c r="A376" s="93">
        <f>VLOOKUP(E376,Dim_Colegiado[],2,FALSE)</f>
        <v>7</v>
      </c>
      <c r="B376" s="94" t="str">
        <f t="shared" si="5"/>
        <v>2019</v>
      </c>
      <c r="C376" s="76" t="s">
        <v>523</v>
      </c>
      <c r="D376" s="95" t="s">
        <v>408</v>
      </c>
      <c r="E376" s="95" t="s">
        <v>196</v>
      </c>
      <c r="F376" s="92">
        <v>1200000</v>
      </c>
      <c r="G376" s="82" t="s">
        <v>101</v>
      </c>
      <c r="H376" s="72" t="s">
        <v>123</v>
      </c>
      <c r="I376" s="95"/>
      <c r="J376" s="95" t="str">
        <f>LEFT(empreend_Fehidro[[#This Row],[suBpdc classifc]],1)</f>
        <v/>
      </c>
      <c r="K376" s="86"/>
      <c r="L376" s="293"/>
    </row>
    <row r="377" spans="1:12" s="69" customFormat="1" ht="14.4">
      <c r="A377" s="89">
        <f>VLOOKUP(E377,Dim_Colegiado[],2,FALSE)</f>
        <v>7</v>
      </c>
      <c r="B377" s="90" t="str">
        <f t="shared" si="5"/>
        <v>2019</v>
      </c>
      <c r="C377" s="75" t="s">
        <v>524</v>
      </c>
      <c r="D377" s="91" t="s">
        <v>408</v>
      </c>
      <c r="E377" s="91" t="s">
        <v>196</v>
      </c>
      <c r="F377" s="88">
        <v>1200000</v>
      </c>
      <c r="G377" s="82" t="s">
        <v>101</v>
      </c>
      <c r="H377" s="72" t="s">
        <v>123</v>
      </c>
      <c r="I377" s="91"/>
      <c r="J377" s="91" t="str">
        <f>LEFT(empreend_Fehidro[[#This Row],[suBpdc classifc]],1)</f>
        <v/>
      </c>
      <c r="K377" s="85"/>
      <c r="L377" s="293"/>
    </row>
    <row r="378" spans="1:12" s="69" customFormat="1" ht="14.4">
      <c r="A378" s="93">
        <f>VLOOKUP(E378,Dim_Colegiado[],2,FALSE)</f>
        <v>7</v>
      </c>
      <c r="B378" s="94" t="str">
        <f t="shared" si="5"/>
        <v>2019</v>
      </c>
      <c r="C378" s="76" t="s">
        <v>525</v>
      </c>
      <c r="D378" s="95" t="s">
        <v>408</v>
      </c>
      <c r="E378" s="95" t="s">
        <v>196</v>
      </c>
      <c r="F378" s="92">
        <v>1200000</v>
      </c>
      <c r="G378" s="82" t="s">
        <v>101</v>
      </c>
      <c r="H378" s="72" t="s">
        <v>123</v>
      </c>
      <c r="I378" s="95"/>
      <c r="J378" s="95" t="str">
        <f>LEFT(empreend_Fehidro[[#This Row],[suBpdc classifc]],1)</f>
        <v/>
      </c>
      <c r="K378" s="86"/>
      <c r="L378" s="293"/>
    </row>
    <row r="379" spans="1:12" s="69" customFormat="1" ht="14.4">
      <c r="A379" s="89">
        <f>VLOOKUP(E379,Dim_Colegiado[],2,FALSE)</f>
        <v>7</v>
      </c>
      <c r="B379" s="90" t="str">
        <f t="shared" si="5"/>
        <v>2019</v>
      </c>
      <c r="C379" s="75" t="s">
        <v>526</v>
      </c>
      <c r="D379" s="91" t="s">
        <v>408</v>
      </c>
      <c r="E379" s="91" t="s">
        <v>196</v>
      </c>
      <c r="F379" s="88">
        <v>1390000</v>
      </c>
      <c r="G379" s="82" t="s">
        <v>101</v>
      </c>
      <c r="H379" s="72" t="s">
        <v>123</v>
      </c>
      <c r="I379" s="91"/>
      <c r="J379" s="91" t="str">
        <f>LEFT(empreend_Fehidro[[#This Row],[suBpdc classifc]],1)</f>
        <v/>
      </c>
      <c r="K379" s="85"/>
      <c r="L379" s="293"/>
    </row>
    <row r="380" spans="1:12" s="69" customFormat="1" ht="14.4">
      <c r="A380" s="93">
        <f>VLOOKUP(E380,Dim_Colegiado[],2,FALSE)</f>
        <v>7</v>
      </c>
      <c r="B380" s="94" t="str">
        <f t="shared" si="5"/>
        <v>2019</v>
      </c>
      <c r="C380" s="76" t="s">
        <v>527</v>
      </c>
      <c r="D380" s="95" t="s">
        <v>408</v>
      </c>
      <c r="E380" s="95" t="s">
        <v>196</v>
      </c>
      <c r="F380" s="92">
        <v>1807624.68</v>
      </c>
      <c r="G380" s="82" t="s">
        <v>101</v>
      </c>
      <c r="H380" s="72" t="s">
        <v>123</v>
      </c>
      <c r="I380" s="95"/>
      <c r="J380" s="95" t="str">
        <f>LEFT(empreend_Fehidro[[#This Row],[suBpdc classifc]],1)</f>
        <v/>
      </c>
      <c r="K380" s="86"/>
      <c r="L380" s="293"/>
    </row>
    <row r="381" spans="1:12" s="69" customFormat="1" ht="14.4">
      <c r="A381" s="89">
        <f>VLOOKUP(E381,Dim_Colegiado[],2,FALSE)</f>
        <v>7</v>
      </c>
      <c r="B381" s="90" t="str">
        <f t="shared" si="5"/>
        <v>2019</v>
      </c>
      <c r="C381" s="75" t="s">
        <v>528</v>
      </c>
      <c r="D381" s="91" t="s">
        <v>408</v>
      </c>
      <c r="E381" s="91" t="s">
        <v>196</v>
      </c>
      <c r="F381" s="88">
        <v>1807624.68</v>
      </c>
      <c r="G381" s="82" t="s">
        <v>101</v>
      </c>
      <c r="H381" s="72" t="s">
        <v>123</v>
      </c>
      <c r="I381" s="91"/>
      <c r="J381" s="91" t="str">
        <f>LEFT(empreend_Fehidro[[#This Row],[suBpdc classifc]],1)</f>
        <v/>
      </c>
      <c r="K381" s="85"/>
      <c r="L381" s="293"/>
    </row>
    <row r="382" spans="1:12" s="69" customFormat="1" ht="14.4">
      <c r="A382" s="93">
        <f>VLOOKUP(E382,Dim_Colegiado[],2,FALSE)</f>
        <v>7</v>
      </c>
      <c r="B382" s="94" t="str">
        <f t="shared" si="5"/>
        <v>2019</v>
      </c>
      <c r="C382" s="76" t="s">
        <v>529</v>
      </c>
      <c r="D382" s="95" t="s">
        <v>408</v>
      </c>
      <c r="E382" s="95" t="s">
        <v>196</v>
      </c>
      <c r="F382" s="92">
        <v>1999999.98</v>
      </c>
      <c r="G382" s="82" t="s">
        <v>101</v>
      </c>
      <c r="H382" s="72" t="s">
        <v>123</v>
      </c>
      <c r="I382" s="95"/>
      <c r="J382" s="95" t="str">
        <f>LEFT(empreend_Fehidro[[#This Row],[suBpdc classifc]],1)</f>
        <v/>
      </c>
      <c r="K382" s="86"/>
      <c r="L382" s="293"/>
    </row>
    <row r="383" spans="1:12" s="69" customFormat="1" ht="14.4">
      <c r="A383" s="89">
        <f>VLOOKUP(E383,Dim_Colegiado[],2,FALSE)</f>
        <v>7</v>
      </c>
      <c r="B383" s="90" t="str">
        <f t="shared" si="5"/>
        <v>2019</v>
      </c>
      <c r="C383" s="75" t="s">
        <v>530</v>
      </c>
      <c r="D383" s="91" t="s">
        <v>408</v>
      </c>
      <c r="E383" s="91" t="s">
        <v>196</v>
      </c>
      <c r="F383" s="88">
        <v>2000000</v>
      </c>
      <c r="G383" s="82" t="s">
        <v>101</v>
      </c>
      <c r="H383" s="72" t="s">
        <v>123</v>
      </c>
      <c r="I383" s="91"/>
      <c r="J383" s="91" t="str">
        <f>LEFT(empreend_Fehidro[[#This Row],[suBpdc classifc]],1)</f>
        <v/>
      </c>
      <c r="K383" s="85"/>
      <c r="L383" s="293"/>
    </row>
    <row r="384" spans="1:12" s="69" customFormat="1" ht="14.4">
      <c r="A384" s="93">
        <f>VLOOKUP(E384,Dim_Colegiado[],2,FALSE)</f>
        <v>7</v>
      </c>
      <c r="B384" s="94" t="str">
        <f t="shared" si="5"/>
        <v>2019</v>
      </c>
      <c r="C384" s="76" t="s">
        <v>531</v>
      </c>
      <c r="D384" s="95" t="s">
        <v>408</v>
      </c>
      <c r="E384" s="95" t="s">
        <v>196</v>
      </c>
      <c r="F384" s="92">
        <v>4000000</v>
      </c>
      <c r="G384" s="82" t="s">
        <v>101</v>
      </c>
      <c r="H384" s="72" t="s">
        <v>123</v>
      </c>
      <c r="I384" s="95"/>
      <c r="J384" s="95" t="str">
        <f>LEFT(empreend_Fehidro[[#This Row],[suBpdc classifc]],1)</f>
        <v/>
      </c>
      <c r="K384" s="86"/>
      <c r="L384" s="293"/>
    </row>
    <row r="385" spans="1:12" s="69" customFormat="1" ht="14.4">
      <c r="A385" s="89">
        <f>VLOOKUP(E385,Dim_Colegiado[],2,FALSE)</f>
        <v>8</v>
      </c>
      <c r="B385" s="90" t="str">
        <f t="shared" si="5"/>
        <v>2019</v>
      </c>
      <c r="C385" s="75" t="s">
        <v>532</v>
      </c>
      <c r="D385" s="91" t="s">
        <v>411</v>
      </c>
      <c r="E385" s="91" t="s">
        <v>203</v>
      </c>
      <c r="F385" s="88">
        <v>91140</v>
      </c>
      <c r="G385" s="82" t="s">
        <v>101</v>
      </c>
      <c r="H385" s="72" t="s">
        <v>123</v>
      </c>
      <c r="I385" s="91"/>
      <c r="J385" s="91" t="str">
        <f>LEFT(empreend_Fehidro[[#This Row],[suBpdc classifc]],1)</f>
        <v/>
      </c>
      <c r="K385" s="85"/>
      <c r="L385" s="293"/>
    </row>
    <row r="386" spans="1:12" s="69" customFormat="1" ht="14.4">
      <c r="A386" s="78">
        <f>VLOOKUP(E386,Dim_Colegiado[],2,FALSE)</f>
        <v>8</v>
      </c>
      <c r="B386" s="67" t="str">
        <f t="shared" ref="B386:B449" si="6">LEFT(C386,4)</f>
        <v>2019</v>
      </c>
      <c r="C386" s="74" t="s">
        <v>533</v>
      </c>
      <c r="D386" s="68" t="s">
        <v>411</v>
      </c>
      <c r="E386" s="68" t="s">
        <v>203</v>
      </c>
      <c r="F386" s="92">
        <v>471699.02</v>
      </c>
      <c r="G386" s="82" t="s">
        <v>101</v>
      </c>
      <c r="H386" s="72" t="s">
        <v>123</v>
      </c>
      <c r="I386" s="68"/>
      <c r="J386" s="68" t="str">
        <f>LEFT(empreend_Fehidro[[#This Row],[suBpdc classifc]],1)</f>
        <v/>
      </c>
      <c r="K386" s="86"/>
      <c r="L386" s="293"/>
    </row>
    <row r="387" spans="1:12" s="69" customFormat="1" ht="14.4">
      <c r="A387" s="89">
        <f>VLOOKUP(E387,Dim_Colegiado[],2,FALSE)</f>
        <v>8</v>
      </c>
      <c r="B387" s="90" t="str">
        <f t="shared" si="6"/>
        <v>2019</v>
      </c>
      <c r="C387" s="75" t="s">
        <v>534</v>
      </c>
      <c r="D387" s="91" t="s">
        <v>411</v>
      </c>
      <c r="E387" s="91" t="s">
        <v>203</v>
      </c>
      <c r="F387" s="88">
        <v>400000</v>
      </c>
      <c r="G387" s="82" t="s">
        <v>101</v>
      </c>
      <c r="H387" s="72" t="s">
        <v>123</v>
      </c>
      <c r="I387" s="91"/>
      <c r="J387" s="91" t="str">
        <f>LEFT(empreend_Fehidro[[#This Row],[suBpdc classifc]],1)</f>
        <v/>
      </c>
      <c r="K387" s="85"/>
      <c r="L387" s="293"/>
    </row>
    <row r="388" spans="1:12" s="69" customFormat="1" ht="14.4">
      <c r="A388" s="78">
        <f>VLOOKUP(E388,Dim_Colegiado[],2,FALSE)</f>
        <v>8</v>
      </c>
      <c r="B388" s="67" t="str">
        <f t="shared" si="6"/>
        <v>2019</v>
      </c>
      <c r="C388" s="74" t="s">
        <v>535</v>
      </c>
      <c r="D388" s="68" t="s">
        <v>411</v>
      </c>
      <c r="E388" s="68" t="s">
        <v>203</v>
      </c>
      <c r="F388" s="92">
        <v>744786.7</v>
      </c>
      <c r="G388" s="82" t="s">
        <v>101</v>
      </c>
      <c r="H388" s="72" t="s">
        <v>123</v>
      </c>
      <c r="I388" s="68"/>
      <c r="J388" s="68" t="str">
        <f>LEFT(empreend_Fehidro[[#This Row],[suBpdc classifc]],1)</f>
        <v/>
      </c>
      <c r="K388" s="86"/>
      <c r="L388" s="293"/>
    </row>
    <row r="389" spans="1:12" s="69" customFormat="1" ht="14.4">
      <c r="A389" s="89">
        <f>VLOOKUP(E389,Dim_Colegiado[],2,FALSE)</f>
        <v>8</v>
      </c>
      <c r="B389" s="90" t="str">
        <f t="shared" si="6"/>
        <v>2019</v>
      </c>
      <c r="C389" s="75" t="s">
        <v>536</v>
      </c>
      <c r="D389" s="91" t="s">
        <v>411</v>
      </c>
      <c r="E389" s="91" t="s">
        <v>203</v>
      </c>
      <c r="F389" s="88">
        <v>73895.75</v>
      </c>
      <c r="G389" s="82" t="s">
        <v>101</v>
      </c>
      <c r="H389" s="72" t="s">
        <v>123</v>
      </c>
      <c r="I389" s="91"/>
      <c r="J389" s="91" t="str">
        <f>LEFT(empreend_Fehidro[[#This Row],[suBpdc classifc]],1)</f>
        <v/>
      </c>
      <c r="K389" s="85"/>
      <c r="L389" s="293"/>
    </row>
    <row r="390" spans="1:12" s="69" customFormat="1" ht="14.4">
      <c r="A390" s="78">
        <f>VLOOKUP(E390,Dim_Colegiado[],2,FALSE)</f>
        <v>8</v>
      </c>
      <c r="B390" s="67" t="str">
        <f t="shared" si="6"/>
        <v>2019</v>
      </c>
      <c r="C390" s="74" t="s">
        <v>537</v>
      </c>
      <c r="D390" s="68" t="s">
        <v>397</v>
      </c>
      <c r="E390" s="68" t="s">
        <v>203</v>
      </c>
      <c r="F390" s="92">
        <v>93000</v>
      </c>
      <c r="G390" s="82" t="s">
        <v>101</v>
      </c>
      <c r="H390" s="72" t="s">
        <v>123</v>
      </c>
      <c r="I390" s="68"/>
      <c r="J390" s="68" t="str">
        <f>LEFT(empreend_Fehidro[[#This Row],[suBpdc classifc]],1)</f>
        <v/>
      </c>
      <c r="K390" s="86"/>
      <c r="L390" s="293"/>
    </row>
    <row r="391" spans="1:12" s="69" customFormat="1" ht="14.4">
      <c r="A391" s="89">
        <f>VLOOKUP(E391,Dim_Colegiado[],2,FALSE)</f>
        <v>8</v>
      </c>
      <c r="B391" s="90" t="str">
        <f t="shared" si="6"/>
        <v>2019</v>
      </c>
      <c r="C391" s="75" t="s">
        <v>538</v>
      </c>
      <c r="D391" s="91" t="s">
        <v>397</v>
      </c>
      <c r="E391" s="91" t="s">
        <v>203</v>
      </c>
      <c r="F391" s="88">
        <v>285542.39</v>
      </c>
      <c r="G391" s="82" t="s">
        <v>101</v>
      </c>
      <c r="H391" s="72" t="s">
        <v>123</v>
      </c>
      <c r="I391" s="91"/>
      <c r="J391" s="91" t="str">
        <f>LEFT(empreend_Fehidro[[#This Row],[suBpdc classifc]],1)</f>
        <v/>
      </c>
      <c r="K391" s="85"/>
      <c r="L391" s="293"/>
    </row>
    <row r="392" spans="1:12" s="69" customFormat="1" ht="14.4">
      <c r="A392" s="78">
        <f>VLOOKUP(E392,Dim_Colegiado[],2,FALSE)</f>
        <v>8</v>
      </c>
      <c r="B392" s="67" t="str">
        <f t="shared" si="6"/>
        <v>2019</v>
      </c>
      <c r="C392" s="74" t="s">
        <v>539</v>
      </c>
      <c r="D392" s="68" t="s">
        <v>408</v>
      </c>
      <c r="E392" s="68" t="s">
        <v>203</v>
      </c>
      <c r="F392" s="92">
        <v>91140</v>
      </c>
      <c r="G392" s="82" t="s">
        <v>101</v>
      </c>
      <c r="H392" s="72" t="s">
        <v>123</v>
      </c>
      <c r="I392" s="68"/>
      <c r="J392" s="68" t="str">
        <f>LEFT(empreend_Fehidro[[#This Row],[suBpdc classifc]],1)</f>
        <v/>
      </c>
      <c r="K392" s="86"/>
      <c r="L392" s="293"/>
    </row>
    <row r="393" spans="1:12" s="69" customFormat="1" ht="14.4">
      <c r="A393" s="89">
        <f>VLOOKUP(E393,Dim_Colegiado[],2,FALSE)</f>
        <v>8</v>
      </c>
      <c r="B393" s="90" t="str">
        <f t="shared" si="6"/>
        <v>2019</v>
      </c>
      <c r="C393" s="75" t="s">
        <v>540</v>
      </c>
      <c r="D393" s="91" t="s">
        <v>408</v>
      </c>
      <c r="E393" s="91" t="s">
        <v>203</v>
      </c>
      <c r="F393" s="88">
        <v>344911</v>
      </c>
      <c r="G393" s="82" t="s">
        <v>101</v>
      </c>
      <c r="H393" s="72" t="s">
        <v>123</v>
      </c>
      <c r="I393" s="91"/>
      <c r="J393" s="91" t="str">
        <f>LEFT(empreend_Fehidro[[#This Row],[suBpdc classifc]],1)</f>
        <v/>
      </c>
      <c r="K393" s="85"/>
      <c r="L393" s="293"/>
    </row>
    <row r="394" spans="1:12" s="69" customFormat="1" ht="14.4">
      <c r="A394" s="78">
        <f>VLOOKUP(E394,Dim_Colegiado[],2,FALSE)</f>
        <v>8</v>
      </c>
      <c r="B394" s="67" t="str">
        <f t="shared" si="6"/>
        <v>2019</v>
      </c>
      <c r="C394" s="74" t="s">
        <v>541</v>
      </c>
      <c r="D394" s="68" t="s">
        <v>408</v>
      </c>
      <c r="E394" s="68" t="s">
        <v>203</v>
      </c>
      <c r="F394" s="92">
        <v>246703.04</v>
      </c>
      <c r="G394" s="82" t="s">
        <v>101</v>
      </c>
      <c r="H394" s="72" t="s">
        <v>123</v>
      </c>
      <c r="I394" s="68"/>
      <c r="J394" s="68" t="str">
        <f>LEFT(empreend_Fehidro[[#This Row],[suBpdc classifc]],1)</f>
        <v/>
      </c>
      <c r="K394" s="86"/>
      <c r="L394" s="293"/>
    </row>
    <row r="395" spans="1:12" s="141" customFormat="1" ht="11.25" customHeight="1">
      <c r="A395" s="89">
        <f>VLOOKUP(E395,Dim_Colegiado[],2,FALSE)</f>
        <v>8</v>
      </c>
      <c r="B395" s="90" t="str">
        <f t="shared" si="6"/>
        <v>2019</v>
      </c>
      <c r="C395" s="75" t="s">
        <v>542</v>
      </c>
      <c r="D395" s="91" t="s">
        <v>408</v>
      </c>
      <c r="E395" s="91" t="s">
        <v>203</v>
      </c>
      <c r="F395" s="88">
        <v>516830.53</v>
      </c>
      <c r="G395" s="82" t="s">
        <v>101</v>
      </c>
      <c r="H395" s="72" t="s">
        <v>123</v>
      </c>
      <c r="I395" s="91"/>
      <c r="J395" s="91" t="str">
        <f>LEFT(empreend_Fehidro[[#This Row],[suBpdc classifc]],1)</f>
        <v/>
      </c>
      <c r="K395" s="85"/>
      <c r="L395" s="293"/>
    </row>
    <row r="396" spans="1:12" s="141" customFormat="1" ht="11.25" customHeight="1">
      <c r="A396" s="78">
        <f>VLOOKUP(E396,Dim_Colegiado[],2,FALSE)</f>
        <v>8</v>
      </c>
      <c r="B396" s="67" t="str">
        <f t="shared" si="6"/>
        <v>2019</v>
      </c>
      <c r="C396" s="74" t="s">
        <v>543</v>
      </c>
      <c r="D396" s="68" t="s">
        <v>408</v>
      </c>
      <c r="E396" s="68" t="s">
        <v>203</v>
      </c>
      <c r="F396" s="92">
        <v>600000</v>
      </c>
      <c r="G396" s="82" t="s">
        <v>101</v>
      </c>
      <c r="H396" s="72" t="s">
        <v>123</v>
      </c>
      <c r="I396" s="68"/>
      <c r="J396" s="68" t="str">
        <f>LEFT(empreend_Fehidro[[#This Row],[suBpdc classifc]],1)</f>
        <v/>
      </c>
      <c r="K396" s="86"/>
      <c r="L396" s="293"/>
    </row>
    <row r="397" spans="1:12" s="141" customFormat="1" ht="11.25" customHeight="1">
      <c r="A397" s="89">
        <f>VLOOKUP(E397,Dim_Colegiado[],2,FALSE)</f>
        <v>8</v>
      </c>
      <c r="B397" s="90" t="str">
        <f t="shared" si="6"/>
        <v>2019</v>
      </c>
      <c r="C397" s="75" t="s">
        <v>544</v>
      </c>
      <c r="D397" s="91" t="s">
        <v>408</v>
      </c>
      <c r="E397" s="91" t="s">
        <v>203</v>
      </c>
      <c r="F397" s="88">
        <v>93881.42</v>
      </c>
      <c r="G397" s="82" t="s">
        <v>101</v>
      </c>
      <c r="H397" s="72" t="s">
        <v>123</v>
      </c>
      <c r="I397" s="91"/>
      <c r="J397" s="91" t="str">
        <f>LEFT(empreend_Fehidro[[#This Row],[suBpdc classifc]],1)</f>
        <v/>
      </c>
      <c r="K397" s="85"/>
      <c r="L397" s="293"/>
    </row>
    <row r="398" spans="1:12" s="141" customFormat="1" ht="11.25" customHeight="1">
      <c r="A398" s="78">
        <f>VLOOKUP(E398,Dim_Colegiado[],2,FALSE)</f>
        <v>8</v>
      </c>
      <c r="B398" s="67" t="str">
        <f t="shared" si="6"/>
        <v>2019</v>
      </c>
      <c r="C398" s="74" t="s">
        <v>545</v>
      </c>
      <c r="D398" s="68" t="s">
        <v>408</v>
      </c>
      <c r="E398" s="68" t="s">
        <v>203</v>
      </c>
      <c r="F398" s="92">
        <v>145011.14000000001</v>
      </c>
      <c r="G398" s="82" t="s">
        <v>101</v>
      </c>
      <c r="H398" s="72" t="s">
        <v>123</v>
      </c>
      <c r="I398" s="68"/>
      <c r="J398" s="68" t="str">
        <f>LEFT(empreend_Fehidro[[#This Row],[suBpdc classifc]],1)</f>
        <v/>
      </c>
      <c r="K398" s="86"/>
      <c r="L398" s="293"/>
    </row>
    <row r="399" spans="1:12" s="141" customFormat="1" ht="11.25" customHeight="1">
      <c r="A399" s="89">
        <f>VLOOKUP(E399,Dim_Colegiado[],2,FALSE)</f>
        <v>8</v>
      </c>
      <c r="B399" s="90" t="str">
        <f t="shared" si="6"/>
        <v>2019</v>
      </c>
      <c r="C399" s="75" t="s">
        <v>546</v>
      </c>
      <c r="D399" s="91" t="s">
        <v>408</v>
      </c>
      <c r="E399" s="91" t="s">
        <v>203</v>
      </c>
      <c r="F399" s="88">
        <v>191282.28</v>
      </c>
      <c r="G399" s="82" t="s">
        <v>101</v>
      </c>
      <c r="H399" s="72" t="s">
        <v>123</v>
      </c>
      <c r="I399" s="91"/>
      <c r="J399" s="91" t="str">
        <f>LEFT(empreend_Fehidro[[#This Row],[suBpdc classifc]],1)</f>
        <v/>
      </c>
      <c r="K399" s="85"/>
      <c r="L399" s="293"/>
    </row>
    <row r="400" spans="1:12" s="141" customFormat="1" ht="11.25" customHeight="1">
      <c r="A400" s="78">
        <f>VLOOKUP(E400,Dim_Colegiado[],2,FALSE)</f>
        <v>8</v>
      </c>
      <c r="B400" s="67" t="str">
        <f t="shared" si="6"/>
        <v>2019</v>
      </c>
      <c r="C400" s="74" t="s">
        <v>547</v>
      </c>
      <c r="D400" s="68" t="s">
        <v>408</v>
      </c>
      <c r="E400" s="68" t="s">
        <v>203</v>
      </c>
      <c r="F400" s="92">
        <v>375660</v>
      </c>
      <c r="G400" s="82" t="s">
        <v>101</v>
      </c>
      <c r="H400" s="72" t="s">
        <v>123</v>
      </c>
      <c r="I400" s="68"/>
      <c r="J400" s="68" t="str">
        <f>LEFT(empreend_Fehidro[[#This Row],[suBpdc classifc]],1)</f>
        <v/>
      </c>
      <c r="K400" s="86"/>
      <c r="L400" s="293"/>
    </row>
    <row r="401" spans="1:12" s="141" customFormat="1" ht="11.25" customHeight="1">
      <c r="A401" s="89">
        <f>VLOOKUP(E401,Dim_Colegiado[],2,FALSE)</f>
        <v>8</v>
      </c>
      <c r="B401" s="90" t="str">
        <f t="shared" si="6"/>
        <v>2019</v>
      </c>
      <c r="C401" s="75" t="s">
        <v>548</v>
      </c>
      <c r="D401" s="91" t="s">
        <v>408</v>
      </c>
      <c r="E401" s="91" t="s">
        <v>203</v>
      </c>
      <c r="F401" s="88">
        <v>470000</v>
      </c>
      <c r="G401" s="82" t="s">
        <v>101</v>
      </c>
      <c r="H401" s="72" t="s">
        <v>123</v>
      </c>
      <c r="I401" s="91"/>
      <c r="J401" s="91" t="str">
        <f>LEFT(empreend_Fehidro[[#This Row],[suBpdc classifc]],1)</f>
        <v/>
      </c>
      <c r="K401" s="85"/>
      <c r="L401" s="293"/>
    </row>
    <row r="402" spans="1:12" s="141" customFormat="1" ht="11.25" customHeight="1">
      <c r="A402" s="89">
        <f>VLOOKUP(E402,Dim_Colegiado[],2,FALSE)</f>
        <v>9</v>
      </c>
      <c r="B402" s="90" t="str">
        <f t="shared" si="6"/>
        <v>2019</v>
      </c>
      <c r="C402" s="75" t="s">
        <v>549</v>
      </c>
      <c r="D402" s="91" t="s">
        <v>411</v>
      </c>
      <c r="E402" s="91" t="s">
        <v>209</v>
      </c>
      <c r="F402" s="88">
        <v>299912.59000000003</v>
      </c>
      <c r="G402" s="82" t="s">
        <v>101</v>
      </c>
      <c r="H402" s="72" t="s">
        <v>123</v>
      </c>
      <c r="I402" s="91"/>
      <c r="J402" s="91" t="str">
        <f>LEFT(empreend_Fehidro[[#This Row],[suBpdc classifc]],1)</f>
        <v/>
      </c>
      <c r="K402" s="85"/>
      <c r="L402" s="293"/>
    </row>
    <row r="403" spans="1:12" s="70" customFormat="1" ht="14.4">
      <c r="A403" s="78">
        <f>VLOOKUP(E403,Dim_Colegiado[],2,FALSE)</f>
        <v>9</v>
      </c>
      <c r="B403" s="67" t="str">
        <f t="shared" si="6"/>
        <v>2019</v>
      </c>
      <c r="C403" s="74" t="s">
        <v>550</v>
      </c>
      <c r="D403" s="68" t="s">
        <v>411</v>
      </c>
      <c r="E403" s="68" t="s">
        <v>209</v>
      </c>
      <c r="F403" s="92">
        <v>256310.57</v>
      </c>
      <c r="G403" s="82" t="s">
        <v>101</v>
      </c>
      <c r="H403" s="72" t="s">
        <v>123</v>
      </c>
      <c r="I403" s="68"/>
      <c r="J403" s="68" t="str">
        <f>LEFT(empreend_Fehidro[[#This Row],[suBpdc classifc]],1)</f>
        <v/>
      </c>
      <c r="K403" s="86"/>
      <c r="L403" s="293"/>
    </row>
    <row r="404" spans="1:12" s="70" customFormat="1" ht="14.4">
      <c r="A404" s="89">
        <f>VLOOKUP(E404,Dim_Colegiado[],2,FALSE)</f>
        <v>9</v>
      </c>
      <c r="B404" s="90" t="str">
        <f t="shared" si="6"/>
        <v>2019</v>
      </c>
      <c r="C404" s="75" t="s">
        <v>551</v>
      </c>
      <c r="D404" s="91" t="s">
        <v>411</v>
      </c>
      <c r="E404" s="91" t="s">
        <v>209</v>
      </c>
      <c r="F404" s="88">
        <v>151922.91</v>
      </c>
      <c r="G404" s="82" t="s">
        <v>101</v>
      </c>
      <c r="H404" s="72" t="s">
        <v>123</v>
      </c>
      <c r="I404" s="91"/>
      <c r="J404" s="91" t="str">
        <f>LEFT(empreend_Fehidro[[#This Row],[suBpdc classifc]],1)</f>
        <v/>
      </c>
      <c r="K404" s="85"/>
      <c r="L404" s="293"/>
    </row>
    <row r="405" spans="1:12" s="141" customFormat="1" ht="11.25" customHeight="1">
      <c r="A405" s="78">
        <f>VLOOKUP(E405,Dim_Colegiado[],2,FALSE)</f>
        <v>9</v>
      </c>
      <c r="B405" s="67" t="str">
        <f t="shared" si="6"/>
        <v>2019</v>
      </c>
      <c r="C405" s="74" t="s">
        <v>552</v>
      </c>
      <c r="D405" s="68" t="s">
        <v>411</v>
      </c>
      <c r="E405" s="68" t="s">
        <v>209</v>
      </c>
      <c r="F405" s="92">
        <v>150000</v>
      </c>
      <c r="G405" s="82" t="s">
        <v>101</v>
      </c>
      <c r="H405" s="72" t="s">
        <v>123</v>
      </c>
      <c r="I405" s="68"/>
      <c r="J405" s="68" t="str">
        <f>LEFT(empreend_Fehidro[[#This Row],[suBpdc classifc]],1)</f>
        <v/>
      </c>
      <c r="K405" s="86"/>
      <c r="L405" s="293"/>
    </row>
    <row r="406" spans="1:12" s="141" customFormat="1" ht="11.25" customHeight="1">
      <c r="A406" s="89">
        <f>VLOOKUP(E406,Dim_Colegiado[],2,FALSE)</f>
        <v>9</v>
      </c>
      <c r="B406" s="90" t="str">
        <f t="shared" si="6"/>
        <v>2019</v>
      </c>
      <c r="C406" s="75" t="s">
        <v>553</v>
      </c>
      <c r="D406" s="91" t="s">
        <v>411</v>
      </c>
      <c r="E406" s="91" t="s">
        <v>209</v>
      </c>
      <c r="F406" s="88">
        <v>320678.44</v>
      </c>
      <c r="G406" s="82" t="s">
        <v>101</v>
      </c>
      <c r="H406" s="72" t="s">
        <v>123</v>
      </c>
      <c r="I406" s="91"/>
      <c r="J406" s="91" t="str">
        <f>LEFT(empreend_Fehidro[[#This Row],[suBpdc classifc]],1)</f>
        <v/>
      </c>
      <c r="K406" s="85"/>
      <c r="L406" s="293"/>
    </row>
    <row r="407" spans="1:12" s="141" customFormat="1" ht="11.25" customHeight="1">
      <c r="A407" s="78">
        <f>VLOOKUP(E407,Dim_Colegiado[],2,FALSE)</f>
        <v>9</v>
      </c>
      <c r="B407" s="67" t="str">
        <f t="shared" si="6"/>
        <v>2019</v>
      </c>
      <c r="C407" s="74" t="s">
        <v>554</v>
      </c>
      <c r="D407" s="68" t="s">
        <v>397</v>
      </c>
      <c r="E407" s="68" t="s">
        <v>209</v>
      </c>
      <c r="F407" s="92">
        <v>249998.61</v>
      </c>
      <c r="G407" s="82" t="s">
        <v>101</v>
      </c>
      <c r="H407" s="72" t="s">
        <v>123</v>
      </c>
      <c r="I407" s="68"/>
      <c r="J407" s="68" t="str">
        <f>LEFT(empreend_Fehidro[[#This Row],[suBpdc classifc]],1)</f>
        <v/>
      </c>
      <c r="K407" s="86"/>
      <c r="L407" s="293"/>
    </row>
    <row r="408" spans="1:12" s="141" customFormat="1" ht="11.25" customHeight="1">
      <c r="A408" s="89">
        <f>VLOOKUP(E408,Dim_Colegiado[],2,FALSE)</f>
        <v>9</v>
      </c>
      <c r="B408" s="90" t="str">
        <f t="shared" si="6"/>
        <v>2019</v>
      </c>
      <c r="C408" s="75" t="s">
        <v>555</v>
      </c>
      <c r="D408" s="91" t="s">
        <v>397</v>
      </c>
      <c r="E408" s="91" t="s">
        <v>209</v>
      </c>
      <c r="F408" s="88">
        <v>244351.26</v>
      </c>
      <c r="G408" s="82" t="s">
        <v>101</v>
      </c>
      <c r="H408" s="72" t="s">
        <v>123</v>
      </c>
      <c r="I408" s="91"/>
      <c r="J408" s="91" t="str">
        <f>LEFT(empreend_Fehidro[[#This Row],[suBpdc classifc]],1)</f>
        <v/>
      </c>
      <c r="K408" s="85"/>
      <c r="L408" s="293"/>
    </row>
    <row r="409" spans="1:12" s="70" customFormat="1" ht="14.4">
      <c r="A409" s="78">
        <f>VLOOKUP(E409,Dim_Colegiado[],2,FALSE)</f>
        <v>9</v>
      </c>
      <c r="B409" s="67" t="str">
        <f t="shared" si="6"/>
        <v>2019</v>
      </c>
      <c r="C409" s="74" t="s">
        <v>556</v>
      </c>
      <c r="D409" s="68" t="s">
        <v>397</v>
      </c>
      <c r="E409" s="68" t="s">
        <v>209</v>
      </c>
      <c r="F409" s="92">
        <v>245000</v>
      </c>
      <c r="G409" s="82" t="s">
        <v>101</v>
      </c>
      <c r="H409" s="72" t="s">
        <v>123</v>
      </c>
      <c r="I409" s="68"/>
      <c r="J409" s="68" t="str">
        <f>LEFT(empreend_Fehidro[[#This Row],[suBpdc classifc]],1)</f>
        <v/>
      </c>
      <c r="K409" s="86"/>
      <c r="L409" s="293"/>
    </row>
    <row r="410" spans="1:12" s="70" customFormat="1" ht="14.4">
      <c r="A410" s="89">
        <f>VLOOKUP(E410,Dim_Colegiado[],2,FALSE)</f>
        <v>9</v>
      </c>
      <c r="B410" s="90" t="str">
        <f t="shared" si="6"/>
        <v>2019</v>
      </c>
      <c r="C410" s="75" t="s">
        <v>557</v>
      </c>
      <c r="D410" s="91" t="s">
        <v>397</v>
      </c>
      <c r="E410" s="91" t="s">
        <v>209</v>
      </c>
      <c r="F410" s="88">
        <v>248810</v>
      </c>
      <c r="G410" s="82" t="s">
        <v>101</v>
      </c>
      <c r="H410" s="72" t="s">
        <v>123</v>
      </c>
      <c r="I410" s="91"/>
      <c r="J410" s="91" t="str">
        <f>LEFT(empreend_Fehidro[[#This Row],[suBpdc classifc]],1)</f>
        <v/>
      </c>
      <c r="K410" s="85"/>
      <c r="L410" s="293"/>
    </row>
    <row r="411" spans="1:12" s="70" customFormat="1" ht="14.4">
      <c r="A411" s="78">
        <f>VLOOKUP(E411,Dim_Colegiado[],2,FALSE)</f>
        <v>9</v>
      </c>
      <c r="B411" s="67" t="str">
        <f t="shared" si="6"/>
        <v>2019</v>
      </c>
      <c r="C411" s="74" t="s">
        <v>558</v>
      </c>
      <c r="D411" s="68" t="s">
        <v>397</v>
      </c>
      <c r="E411" s="68" t="s">
        <v>209</v>
      </c>
      <c r="F411" s="92">
        <v>519919.97</v>
      </c>
      <c r="G411" s="82" t="s">
        <v>101</v>
      </c>
      <c r="H411" s="72" t="s">
        <v>123</v>
      </c>
      <c r="I411" s="68"/>
      <c r="J411" s="68" t="str">
        <f>LEFT(empreend_Fehidro[[#This Row],[suBpdc classifc]],1)</f>
        <v/>
      </c>
      <c r="K411" s="86"/>
      <c r="L411" s="293"/>
    </row>
    <row r="412" spans="1:12" s="141" customFormat="1" ht="11.25" customHeight="1">
      <c r="A412" s="89">
        <f>VLOOKUP(E412,Dim_Colegiado[],2,FALSE)</f>
        <v>9</v>
      </c>
      <c r="B412" s="90" t="str">
        <f t="shared" si="6"/>
        <v>2019</v>
      </c>
      <c r="C412" s="75" t="s">
        <v>559</v>
      </c>
      <c r="D412" s="91" t="s">
        <v>397</v>
      </c>
      <c r="E412" s="91" t="s">
        <v>209</v>
      </c>
      <c r="F412" s="88">
        <v>519929.43</v>
      </c>
      <c r="G412" s="82" t="s">
        <v>101</v>
      </c>
      <c r="H412" s="72" t="s">
        <v>123</v>
      </c>
      <c r="I412" s="91"/>
      <c r="J412" s="91" t="str">
        <f>LEFT(empreend_Fehidro[[#This Row],[suBpdc classifc]],1)</f>
        <v/>
      </c>
      <c r="K412" s="85"/>
      <c r="L412" s="293"/>
    </row>
    <row r="413" spans="1:12" s="141" customFormat="1" ht="11.25" customHeight="1">
      <c r="A413" s="78">
        <f>VLOOKUP(E413,Dim_Colegiado[],2,FALSE)</f>
        <v>9</v>
      </c>
      <c r="B413" s="67" t="str">
        <f t="shared" si="6"/>
        <v>2019</v>
      </c>
      <c r="C413" s="74" t="s">
        <v>560</v>
      </c>
      <c r="D413" s="68" t="s">
        <v>397</v>
      </c>
      <c r="E413" s="68" t="s">
        <v>209</v>
      </c>
      <c r="F413" s="92">
        <v>150000</v>
      </c>
      <c r="G413" s="82" t="s">
        <v>101</v>
      </c>
      <c r="H413" s="72" t="s">
        <v>123</v>
      </c>
      <c r="I413" s="68"/>
      <c r="J413" s="68" t="str">
        <f>LEFT(empreend_Fehidro[[#This Row],[suBpdc classifc]],1)</f>
        <v/>
      </c>
      <c r="K413" s="86"/>
      <c r="L413" s="293"/>
    </row>
    <row r="414" spans="1:12" s="141" customFormat="1" ht="11.25" customHeight="1">
      <c r="A414" s="89">
        <f>VLOOKUP(E414,Dim_Colegiado[],2,FALSE)</f>
        <v>9</v>
      </c>
      <c r="B414" s="90" t="str">
        <f t="shared" si="6"/>
        <v>2019</v>
      </c>
      <c r="C414" s="75" t="s">
        <v>561</v>
      </c>
      <c r="D414" s="91" t="s">
        <v>397</v>
      </c>
      <c r="E414" s="91" t="s">
        <v>209</v>
      </c>
      <c r="F414" s="88">
        <v>155020.79</v>
      </c>
      <c r="G414" s="82" t="s">
        <v>101</v>
      </c>
      <c r="H414" s="72" t="s">
        <v>123</v>
      </c>
      <c r="I414" s="91"/>
      <c r="J414" s="91" t="str">
        <f>LEFT(empreend_Fehidro[[#This Row],[suBpdc classifc]],1)</f>
        <v/>
      </c>
      <c r="K414" s="85"/>
      <c r="L414" s="293"/>
    </row>
    <row r="415" spans="1:12" s="70" customFormat="1" ht="14.4">
      <c r="A415" s="78">
        <f>VLOOKUP(E415,Dim_Colegiado[],2,FALSE)</f>
        <v>9</v>
      </c>
      <c r="B415" s="67" t="str">
        <f t="shared" si="6"/>
        <v>2019</v>
      </c>
      <c r="C415" s="74" t="s">
        <v>562</v>
      </c>
      <c r="D415" s="68" t="s">
        <v>397</v>
      </c>
      <c r="E415" s="68" t="s">
        <v>209</v>
      </c>
      <c r="F415" s="92">
        <v>194193.84</v>
      </c>
      <c r="G415" s="82" t="s">
        <v>101</v>
      </c>
      <c r="H415" s="72" t="s">
        <v>123</v>
      </c>
      <c r="I415" s="68"/>
      <c r="J415" s="68" t="str">
        <f>LEFT(empreend_Fehidro[[#This Row],[suBpdc classifc]],1)</f>
        <v/>
      </c>
      <c r="K415" s="86"/>
      <c r="L415" s="293"/>
    </row>
    <row r="416" spans="1:12" s="69" customFormat="1" ht="14.4">
      <c r="A416" s="89">
        <f>VLOOKUP(E416,Dim_Colegiado[],2,FALSE)</f>
        <v>9</v>
      </c>
      <c r="B416" s="90" t="str">
        <f t="shared" si="6"/>
        <v>2019</v>
      </c>
      <c r="C416" s="75" t="s">
        <v>563</v>
      </c>
      <c r="D416" s="91" t="s">
        <v>397</v>
      </c>
      <c r="E416" s="91" t="s">
        <v>209</v>
      </c>
      <c r="F416" s="88">
        <v>230157.99</v>
      </c>
      <c r="G416" s="82" t="s">
        <v>101</v>
      </c>
      <c r="H416" s="72" t="s">
        <v>123</v>
      </c>
      <c r="I416" s="91"/>
      <c r="J416" s="91" t="str">
        <f>LEFT(empreend_Fehidro[[#This Row],[suBpdc classifc]],1)</f>
        <v/>
      </c>
      <c r="K416" s="85"/>
      <c r="L416" s="293"/>
    </row>
    <row r="417" spans="1:12" s="69" customFormat="1" ht="14.4">
      <c r="A417" s="78">
        <f>VLOOKUP(E417,Dim_Colegiado[],2,FALSE)</f>
        <v>9</v>
      </c>
      <c r="B417" s="67" t="str">
        <f t="shared" si="6"/>
        <v>2019</v>
      </c>
      <c r="C417" s="74" t="s">
        <v>564</v>
      </c>
      <c r="D417" s="68" t="s">
        <v>397</v>
      </c>
      <c r="E417" s="68" t="s">
        <v>209</v>
      </c>
      <c r="F417" s="92">
        <v>235875.97</v>
      </c>
      <c r="G417" s="82" t="s">
        <v>101</v>
      </c>
      <c r="H417" s="72" t="s">
        <v>123</v>
      </c>
      <c r="I417" s="68"/>
      <c r="J417" s="68" t="str">
        <f>LEFT(empreend_Fehidro[[#This Row],[suBpdc classifc]],1)</f>
        <v/>
      </c>
      <c r="K417" s="86"/>
      <c r="L417" s="293"/>
    </row>
    <row r="418" spans="1:12" s="69" customFormat="1" ht="14.4">
      <c r="A418" s="89">
        <f>VLOOKUP(E418,Dim_Colegiado[],2,FALSE)</f>
        <v>9</v>
      </c>
      <c r="B418" s="90" t="str">
        <f t="shared" si="6"/>
        <v>2019</v>
      </c>
      <c r="C418" s="75" t="s">
        <v>565</v>
      </c>
      <c r="D418" s="91" t="s">
        <v>397</v>
      </c>
      <c r="E418" s="91" t="s">
        <v>209</v>
      </c>
      <c r="F418" s="88">
        <v>258074.73</v>
      </c>
      <c r="G418" s="82" t="s">
        <v>101</v>
      </c>
      <c r="H418" s="72" t="s">
        <v>123</v>
      </c>
      <c r="I418" s="91"/>
      <c r="J418" s="91" t="str">
        <f>LEFT(empreend_Fehidro[[#This Row],[suBpdc classifc]],1)</f>
        <v/>
      </c>
      <c r="K418" s="85"/>
      <c r="L418" s="293"/>
    </row>
    <row r="419" spans="1:12" s="69" customFormat="1" ht="14.4">
      <c r="A419" s="78">
        <f>VLOOKUP(E419,Dim_Colegiado[],2,FALSE)</f>
        <v>9</v>
      </c>
      <c r="B419" s="67" t="str">
        <f t="shared" si="6"/>
        <v>2019</v>
      </c>
      <c r="C419" s="74" t="s">
        <v>566</v>
      </c>
      <c r="D419" s="68" t="s">
        <v>397</v>
      </c>
      <c r="E419" s="68" t="s">
        <v>209</v>
      </c>
      <c r="F419" s="92">
        <v>260000</v>
      </c>
      <c r="G419" s="82" t="s">
        <v>101</v>
      </c>
      <c r="H419" s="72" t="s">
        <v>123</v>
      </c>
      <c r="I419" s="68"/>
      <c r="J419" s="68" t="str">
        <f>LEFT(empreend_Fehidro[[#This Row],[suBpdc classifc]],1)</f>
        <v/>
      </c>
      <c r="K419" s="86"/>
      <c r="L419" s="293"/>
    </row>
    <row r="420" spans="1:12" s="69" customFormat="1" ht="14.4">
      <c r="A420" s="89">
        <f>VLOOKUP(E420,Dim_Colegiado[],2,FALSE)</f>
        <v>9</v>
      </c>
      <c r="B420" s="90" t="str">
        <f t="shared" si="6"/>
        <v>2019</v>
      </c>
      <c r="C420" s="75" t="s">
        <v>567</v>
      </c>
      <c r="D420" s="91" t="s">
        <v>397</v>
      </c>
      <c r="E420" s="91" t="s">
        <v>209</v>
      </c>
      <c r="F420" s="88">
        <v>265500</v>
      </c>
      <c r="G420" s="82" t="s">
        <v>101</v>
      </c>
      <c r="H420" s="72" t="s">
        <v>123</v>
      </c>
      <c r="I420" s="91"/>
      <c r="J420" s="91" t="str">
        <f>LEFT(empreend_Fehidro[[#This Row],[suBpdc classifc]],1)</f>
        <v/>
      </c>
      <c r="K420" s="85"/>
      <c r="L420" s="293"/>
    </row>
    <row r="421" spans="1:12" s="69" customFormat="1" ht="14.4">
      <c r="A421" s="78">
        <f>VLOOKUP(E421,Dim_Colegiado[],2,FALSE)</f>
        <v>9</v>
      </c>
      <c r="B421" s="67" t="str">
        <f t="shared" si="6"/>
        <v>2019</v>
      </c>
      <c r="C421" s="74" t="s">
        <v>568</v>
      </c>
      <c r="D421" s="68" t="s">
        <v>397</v>
      </c>
      <c r="E421" s="68" t="s">
        <v>209</v>
      </c>
      <c r="F421" s="92">
        <v>265923.71999999997</v>
      </c>
      <c r="G421" s="82" t="s">
        <v>101</v>
      </c>
      <c r="H421" s="72" t="s">
        <v>123</v>
      </c>
      <c r="I421" s="68"/>
      <c r="J421" s="68" t="str">
        <f>LEFT(empreend_Fehidro[[#This Row],[suBpdc classifc]],1)</f>
        <v/>
      </c>
      <c r="K421" s="86"/>
      <c r="L421" s="293"/>
    </row>
    <row r="422" spans="1:12" s="69" customFormat="1" ht="14.4">
      <c r="A422" s="89">
        <f>VLOOKUP(E422,Dim_Colegiado[],2,FALSE)</f>
        <v>9</v>
      </c>
      <c r="B422" s="90" t="str">
        <f t="shared" si="6"/>
        <v>2019</v>
      </c>
      <c r="C422" s="75" t="s">
        <v>569</v>
      </c>
      <c r="D422" s="91" t="s">
        <v>397</v>
      </c>
      <c r="E422" s="91" t="s">
        <v>209</v>
      </c>
      <c r="F422" s="88">
        <v>276612.51</v>
      </c>
      <c r="G422" s="82" t="s">
        <v>101</v>
      </c>
      <c r="H422" s="72" t="s">
        <v>123</v>
      </c>
      <c r="I422" s="91"/>
      <c r="J422" s="91" t="str">
        <f>LEFT(empreend_Fehidro[[#This Row],[suBpdc classifc]],1)</f>
        <v/>
      </c>
      <c r="K422" s="85"/>
      <c r="L422" s="293"/>
    </row>
    <row r="423" spans="1:12" s="69" customFormat="1" ht="14.4">
      <c r="A423" s="78">
        <f>VLOOKUP(E423,Dim_Colegiado[],2,FALSE)</f>
        <v>9</v>
      </c>
      <c r="B423" s="67" t="str">
        <f t="shared" si="6"/>
        <v>2019</v>
      </c>
      <c r="C423" s="74" t="s">
        <v>570</v>
      </c>
      <c r="D423" s="68" t="s">
        <v>397</v>
      </c>
      <c r="E423" s="68" t="s">
        <v>209</v>
      </c>
      <c r="F423" s="92">
        <v>279916.90999999997</v>
      </c>
      <c r="G423" s="82" t="s">
        <v>101</v>
      </c>
      <c r="H423" s="72" t="s">
        <v>123</v>
      </c>
      <c r="I423" s="68"/>
      <c r="J423" s="68" t="str">
        <f>LEFT(empreend_Fehidro[[#This Row],[suBpdc classifc]],1)</f>
        <v/>
      </c>
      <c r="K423" s="86"/>
      <c r="L423" s="293"/>
    </row>
    <row r="424" spans="1:12" s="69" customFormat="1" ht="14.4">
      <c r="A424" s="89">
        <f>VLOOKUP(E424,Dim_Colegiado[],2,FALSE)</f>
        <v>9</v>
      </c>
      <c r="B424" s="90" t="str">
        <f t="shared" si="6"/>
        <v>2019</v>
      </c>
      <c r="C424" s="75" t="s">
        <v>571</v>
      </c>
      <c r="D424" s="91" t="s">
        <v>397</v>
      </c>
      <c r="E424" s="91" t="s">
        <v>209</v>
      </c>
      <c r="F424" s="88">
        <v>279992.15999999997</v>
      </c>
      <c r="G424" s="82" t="s">
        <v>101</v>
      </c>
      <c r="H424" s="72" t="s">
        <v>123</v>
      </c>
      <c r="I424" s="91"/>
      <c r="J424" s="91" t="str">
        <f>LEFT(empreend_Fehidro[[#This Row],[suBpdc classifc]],1)</f>
        <v/>
      </c>
      <c r="K424" s="85"/>
      <c r="L424" s="293"/>
    </row>
    <row r="425" spans="1:12" s="69" customFormat="1" ht="14.4">
      <c r="A425" s="78">
        <f>VLOOKUP(E425,Dim_Colegiado[],2,FALSE)</f>
        <v>9</v>
      </c>
      <c r="B425" s="67" t="str">
        <f t="shared" si="6"/>
        <v>2019</v>
      </c>
      <c r="C425" s="74" t="s">
        <v>572</v>
      </c>
      <c r="D425" s="68" t="s">
        <v>397</v>
      </c>
      <c r="E425" s="68" t="s">
        <v>209</v>
      </c>
      <c r="F425" s="92">
        <v>280000</v>
      </c>
      <c r="G425" s="82" t="s">
        <v>101</v>
      </c>
      <c r="H425" s="72" t="s">
        <v>123</v>
      </c>
      <c r="I425" s="68"/>
      <c r="J425" s="68" t="str">
        <f>LEFT(empreend_Fehidro[[#This Row],[suBpdc classifc]],1)</f>
        <v/>
      </c>
      <c r="K425" s="86"/>
      <c r="L425" s="293"/>
    </row>
    <row r="426" spans="1:12" s="69" customFormat="1" ht="14.4">
      <c r="A426" s="89">
        <f>VLOOKUP(E426,Dim_Colegiado[],2,FALSE)</f>
        <v>9</v>
      </c>
      <c r="B426" s="90" t="str">
        <f t="shared" si="6"/>
        <v>2019</v>
      </c>
      <c r="C426" s="75" t="s">
        <v>573</v>
      </c>
      <c r="D426" s="91" t="s">
        <v>397</v>
      </c>
      <c r="E426" s="91" t="s">
        <v>209</v>
      </c>
      <c r="F426" s="88">
        <v>280000</v>
      </c>
      <c r="G426" s="82" t="s">
        <v>101</v>
      </c>
      <c r="H426" s="72" t="s">
        <v>123</v>
      </c>
      <c r="I426" s="91"/>
      <c r="J426" s="91" t="str">
        <f>LEFT(empreend_Fehidro[[#This Row],[suBpdc classifc]],1)</f>
        <v/>
      </c>
      <c r="K426" s="85"/>
      <c r="L426" s="293"/>
    </row>
    <row r="427" spans="1:12" s="69" customFormat="1" ht="14.4">
      <c r="A427" s="78">
        <f>VLOOKUP(E427,Dim_Colegiado[],2,FALSE)</f>
        <v>9</v>
      </c>
      <c r="B427" s="67" t="str">
        <f t="shared" si="6"/>
        <v>2019</v>
      </c>
      <c r="C427" s="74" t="s">
        <v>574</v>
      </c>
      <c r="D427" s="68" t="s">
        <v>397</v>
      </c>
      <c r="E427" s="68" t="s">
        <v>209</v>
      </c>
      <c r="F427" s="92">
        <v>280000</v>
      </c>
      <c r="G427" s="82" t="s">
        <v>101</v>
      </c>
      <c r="H427" s="72" t="s">
        <v>123</v>
      </c>
      <c r="I427" s="68"/>
      <c r="J427" s="68" t="str">
        <f>LEFT(empreend_Fehidro[[#This Row],[suBpdc classifc]],1)</f>
        <v/>
      </c>
      <c r="K427" s="86"/>
      <c r="L427" s="293"/>
    </row>
    <row r="428" spans="1:12" s="141" customFormat="1" ht="10.5" customHeight="1">
      <c r="A428" s="89">
        <f>VLOOKUP(E428,Dim_Colegiado[],2,FALSE)</f>
        <v>9</v>
      </c>
      <c r="B428" s="90" t="str">
        <f t="shared" si="6"/>
        <v>2019</v>
      </c>
      <c r="C428" s="75" t="s">
        <v>575</v>
      </c>
      <c r="D428" s="91" t="s">
        <v>397</v>
      </c>
      <c r="E428" s="91" t="s">
        <v>209</v>
      </c>
      <c r="F428" s="88">
        <v>280000</v>
      </c>
      <c r="G428" s="82" t="s">
        <v>101</v>
      </c>
      <c r="H428" s="72" t="s">
        <v>123</v>
      </c>
      <c r="I428" s="91"/>
      <c r="J428" s="91" t="str">
        <f>LEFT(empreend_Fehidro[[#This Row],[suBpdc classifc]],1)</f>
        <v/>
      </c>
      <c r="K428" s="85"/>
      <c r="L428" s="293"/>
    </row>
    <row r="429" spans="1:12" s="141" customFormat="1" ht="10.5" customHeight="1">
      <c r="A429" s="78">
        <f>VLOOKUP(E429,Dim_Colegiado[],2,FALSE)</f>
        <v>9</v>
      </c>
      <c r="B429" s="67" t="str">
        <f t="shared" si="6"/>
        <v>2019</v>
      </c>
      <c r="C429" s="74" t="s">
        <v>576</v>
      </c>
      <c r="D429" s="68" t="s">
        <v>397</v>
      </c>
      <c r="E429" s="68" t="s">
        <v>209</v>
      </c>
      <c r="F429" s="92">
        <v>280000</v>
      </c>
      <c r="G429" s="82" t="s">
        <v>101</v>
      </c>
      <c r="H429" s="72" t="s">
        <v>123</v>
      </c>
      <c r="I429" s="68"/>
      <c r="J429" s="68" t="str">
        <f>LEFT(empreend_Fehidro[[#This Row],[suBpdc classifc]],1)</f>
        <v/>
      </c>
      <c r="K429" s="86"/>
      <c r="L429" s="293"/>
    </row>
    <row r="430" spans="1:12" s="141" customFormat="1" ht="10.5" customHeight="1">
      <c r="A430" s="89">
        <f>VLOOKUP(E430,Dim_Colegiado[],2,FALSE)</f>
        <v>9</v>
      </c>
      <c r="B430" s="90" t="str">
        <f t="shared" si="6"/>
        <v>2019</v>
      </c>
      <c r="C430" s="75" t="s">
        <v>577</v>
      </c>
      <c r="D430" s="91" t="s">
        <v>397</v>
      </c>
      <c r="E430" s="91" t="s">
        <v>209</v>
      </c>
      <c r="F430" s="88">
        <v>280000</v>
      </c>
      <c r="G430" s="82" t="s">
        <v>101</v>
      </c>
      <c r="H430" s="72" t="s">
        <v>123</v>
      </c>
      <c r="I430" s="91"/>
      <c r="J430" s="91" t="str">
        <f>LEFT(empreend_Fehidro[[#This Row],[suBpdc classifc]],1)</f>
        <v/>
      </c>
      <c r="K430" s="85"/>
      <c r="L430" s="293"/>
    </row>
    <row r="431" spans="1:12" s="70" customFormat="1" ht="14.4">
      <c r="A431" s="78">
        <f>VLOOKUP(E431,Dim_Colegiado[],2,FALSE)</f>
        <v>9</v>
      </c>
      <c r="B431" s="67" t="str">
        <f t="shared" si="6"/>
        <v>2019</v>
      </c>
      <c r="C431" s="74" t="s">
        <v>578</v>
      </c>
      <c r="D431" s="68" t="s">
        <v>397</v>
      </c>
      <c r="E431" s="68" t="s">
        <v>209</v>
      </c>
      <c r="F431" s="92">
        <v>280000</v>
      </c>
      <c r="G431" s="82" t="s">
        <v>101</v>
      </c>
      <c r="H431" s="72" t="s">
        <v>123</v>
      </c>
      <c r="I431" s="68"/>
      <c r="J431" s="68" t="str">
        <f>LEFT(empreend_Fehidro[[#This Row],[suBpdc classifc]],1)</f>
        <v/>
      </c>
      <c r="K431" s="86"/>
      <c r="L431" s="293"/>
    </row>
    <row r="432" spans="1:12" s="141" customFormat="1" ht="10.5" customHeight="1">
      <c r="A432" s="89">
        <f>VLOOKUP(E432,Dim_Colegiado[],2,FALSE)</f>
        <v>9</v>
      </c>
      <c r="B432" s="90" t="str">
        <f t="shared" si="6"/>
        <v>2019</v>
      </c>
      <c r="C432" s="75" t="s">
        <v>579</v>
      </c>
      <c r="D432" s="91" t="s">
        <v>397</v>
      </c>
      <c r="E432" s="91" t="s">
        <v>209</v>
      </c>
      <c r="F432" s="88">
        <v>300000</v>
      </c>
      <c r="G432" s="82" t="s">
        <v>101</v>
      </c>
      <c r="H432" s="72" t="s">
        <v>123</v>
      </c>
      <c r="I432" s="91"/>
      <c r="J432" s="91" t="str">
        <f>LEFT(empreend_Fehidro[[#This Row],[suBpdc classifc]],1)</f>
        <v/>
      </c>
      <c r="K432" s="85"/>
      <c r="L432" s="293"/>
    </row>
    <row r="433" spans="1:12" s="69" customFormat="1" ht="14.4">
      <c r="A433" s="78">
        <f>VLOOKUP(E433,Dim_Colegiado[],2,FALSE)</f>
        <v>9</v>
      </c>
      <c r="B433" s="67" t="str">
        <f t="shared" si="6"/>
        <v>2019</v>
      </c>
      <c r="C433" s="74" t="s">
        <v>580</v>
      </c>
      <c r="D433" s="68" t="s">
        <v>397</v>
      </c>
      <c r="E433" s="68" t="s">
        <v>209</v>
      </c>
      <c r="F433" s="92">
        <v>299998.57</v>
      </c>
      <c r="G433" s="82" t="s">
        <v>101</v>
      </c>
      <c r="H433" s="72" t="s">
        <v>123</v>
      </c>
      <c r="I433" s="68"/>
      <c r="J433" s="68" t="str">
        <f>LEFT(empreend_Fehidro[[#This Row],[suBpdc classifc]],1)</f>
        <v/>
      </c>
      <c r="K433" s="86"/>
      <c r="L433" s="293"/>
    </row>
    <row r="434" spans="1:12" s="69" customFormat="1" ht="14.4">
      <c r="A434" s="89">
        <f>VLOOKUP(E434,Dim_Colegiado[],2,FALSE)</f>
        <v>9</v>
      </c>
      <c r="B434" s="90" t="str">
        <f t="shared" si="6"/>
        <v>2019</v>
      </c>
      <c r="C434" s="75" t="s">
        <v>581</v>
      </c>
      <c r="D434" s="91" t="s">
        <v>397</v>
      </c>
      <c r="E434" s="91" t="s">
        <v>209</v>
      </c>
      <c r="F434" s="88">
        <v>520000</v>
      </c>
      <c r="G434" s="82" t="s">
        <v>101</v>
      </c>
      <c r="H434" s="72" t="s">
        <v>123</v>
      </c>
      <c r="I434" s="91"/>
      <c r="J434" s="91" t="str">
        <f>LEFT(empreend_Fehidro[[#This Row],[suBpdc classifc]],1)</f>
        <v/>
      </c>
      <c r="K434" s="85"/>
      <c r="L434" s="293"/>
    </row>
    <row r="435" spans="1:12" s="69" customFormat="1" ht="14.4">
      <c r="A435" s="78">
        <f>VLOOKUP(E435,Dim_Colegiado[],2,FALSE)</f>
        <v>9</v>
      </c>
      <c r="B435" s="67" t="str">
        <f t="shared" si="6"/>
        <v>2019</v>
      </c>
      <c r="C435" s="74" t="s">
        <v>582</v>
      </c>
      <c r="D435" s="68" t="s">
        <v>397</v>
      </c>
      <c r="E435" s="68" t="s">
        <v>209</v>
      </c>
      <c r="F435" s="92">
        <v>500000</v>
      </c>
      <c r="G435" s="82" t="s">
        <v>101</v>
      </c>
      <c r="H435" s="72" t="s">
        <v>123</v>
      </c>
      <c r="I435" s="68"/>
      <c r="J435" s="68" t="str">
        <f>LEFT(empreend_Fehidro[[#This Row],[suBpdc classifc]],1)</f>
        <v/>
      </c>
      <c r="K435" s="86"/>
      <c r="L435" s="293"/>
    </row>
    <row r="436" spans="1:12" s="69" customFormat="1" ht="14.4">
      <c r="A436" s="89">
        <f>VLOOKUP(E436,Dim_Colegiado[],2,FALSE)</f>
        <v>9</v>
      </c>
      <c r="B436" s="90" t="str">
        <f t="shared" si="6"/>
        <v>2019</v>
      </c>
      <c r="C436" s="75" t="s">
        <v>583</v>
      </c>
      <c r="D436" s="91" t="s">
        <v>408</v>
      </c>
      <c r="E436" s="91" t="s">
        <v>209</v>
      </c>
      <c r="F436" s="88">
        <v>150000</v>
      </c>
      <c r="G436" s="82" t="s">
        <v>101</v>
      </c>
      <c r="H436" s="72" t="s">
        <v>123</v>
      </c>
      <c r="I436" s="91"/>
      <c r="J436" s="91" t="str">
        <f>LEFT(empreend_Fehidro[[#This Row],[suBpdc classifc]],1)</f>
        <v/>
      </c>
      <c r="K436" s="85"/>
      <c r="L436" s="293"/>
    </row>
    <row r="437" spans="1:12" s="69" customFormat="1" ht="14.4">
      <c r="A437" s="78">
        <f>VLOOKUP(E437,Dim_Colegiado[],2,FALSE)</f>
        <v>9</v>
      </c>
      <c r="B437" s="67" t="str">
        <f t="shared" si="6"/>
        <v>2019</v>
      </c>
      <c r="C437" s="74" t="s">
        <v>584</v>
      </c>
      <c r="D437" s="68" t="s">
        <v>408</v>
      </c>
      <c r="E437" s="68" t="s">
        <v>209</v>
      </c>
      <c r="F437" s="92">
        <v>158400</v>
      </c>
      <c r="G437" s="82" t="s">
        <v>101</v>
      </c>
      <c r="H437" s="72" t="s">
        <v>123</v>
      </c>
      <c r="I437" s="68"/>
      <c r="J437" s="68" t="str">
        <f>LEFT(empreend_Fehidro[[#This Row],[suBpdc classifc]],1)</f>
        <v/>
      </c>
      <c r="K437" s="86"/>
      <c r="L437" s="293"/>
    </row>
    <row r="438" spans="1:12" s="69" customFormat="1" ht="14.4">
      <c r="A438" s="89">
        <f>VLOOKUP(E438,Dim_Colegiado[],2,FALSE)</f>
        <v>9</v>
      </c>
      <c r="B438" s="90" t="str">
        <f t="shared" si="6"/>
        <v>2019</v>
      </c>
      <c r="C438" s="75" t="s">
        <v>585</v>
      </c>
      <c r="D438" s="91" t="s">
        <v>408</v>
      </c>
      <c r="E438" s="91" t="s">
        <v>209</v>
      </c>
      <c r="F438" s="88">
        <v>72482.03</v>
      </c>
      <c r="G438" s="82" t="s">
        <v>101</v>
      </c>
      <c r="H438" s="72" t="s">
        <v>123</v>
      </c>
      <c r="I438" s="91"/>
      <c r="J438" s="91" t="str">
        <f>LEFT(empreend_Fehidro[[#This Row],[suBpdc classifc]],1)</f>
        <v/>
      </c>
      <c r="K438" s="85"/>
      <c r="L438" s="293"/>
    </row>
    <row r="439" spans="1:12" s="69" customFormat="1" ht="14.4">
      <c r="A439" s="78">
        <f>VLOOKUP(E439,Dim_Colegiado[],2,FALSE)</f>
        <v>9</v>
      </c>
      <c r="B439" s="67" t="str">
        <f t="shared" si="6"/>
        <v>2019</v>
      </c>
      <c r="C439" s="74" t="s">
        <v>586</v>
      </c>
      <c r="D439" s="68" t="s">
        <v>408</v>
      </c>
      <c r="E439" s="68" t="s">
        <v>209</v>
      </c>
      <c r="F439" s="92">
        <v>80000</v>
      </c>
      <c r="G439" s="82" t="s">
        <v>101</v>
      </c>
      <c r="H439" s="72" t="s">
        <v>123</v>
      </c>
      <c r="I439" s="68"/>
      <c r="J439" s="68" t="str">
        <f>LEFT(empreend_Fehidro[[#This Row],[suBpdc classifc]],1)</f>
        <v/>
      </c>
      <c r="K439" s="86"/>
      <c r="L439" s="293"/>
    </row>
    <row r="440" spans="1:12" s="69" customFormat="1" ht="14.4">
      <c r="A440" s="89">
        <f>VLOOKUP(E440,Dim_Colegiado[],2,FALSE)</f>
        <v>9</v>
      </c>
      <c r="B440" s="90" t="str">
        <f t="shared" si="6"/>
        <v>2019</v>
      </c>
      <c r="C440" s="75" t="s">
        <v>587</v>
      </c>
      <c r="D440" s="91" t="s">
        <v>408</v>
      </c>
      <c r="E440" s="91" t="s">
        <v>209</v>
      </c>
      <c r="F440" s="88">
        <v>133245</v>
      </c>
      <c r="G440" s="82" t="s">
        <v>101</v>
      </c>
      <c r="H440" s="72" t="s">
        <v>123</v>
      </c>
      <c r="I440" s="91"/>
      <c r="J440" s="91" t="str">
        <f>LEFT(empreend_Fehidro[[#This Row],[suBpdc classifc]],1)</f>
        <v/>
      </c>
      <c r="K440" s="85"/>
      <c r="L440" s="293"/>
    </row>
    <row r="441" spans="1:12" s="69" customFormat="1" ht="14.4">
      <c r="A441" s="78">
        <f>VLOOKUP(E441,Dim_Colegiado[],2,FALSE)</f>
        <v>9</v>
      </c>
      <c r="B441" s="67" t="str">
        <f t="shared" si="6"/>
        <v>2019</v>
      </c>
      <c r="C441" s="74" t="s">
        <v>588</v>
      </c>
      <c r="D441" s="68" t="s">
        <v>408</v>
      </c>
      <c r="E441" s="68" t="s">
        <v>209</v>
      </c>
      <c r="F441" s="92">
        <v>172765.6</v>
      </c>
      <c r="G441" s="82" t="s">
        <v>101</v>
      </c>
      <c r="H441" s="72" t="s">
        <v>123</v>
      </c>
      <c r="I441" s="68"/>
      <c r="J441" s="68" t="str">
        <f>LEFT(empreend_Fehidro[[#This Row],[suBpdc classifc]],1)</f>
        <v/>
      </c>
      <c r="K441" s="86"/>
      <c r="L441" s="293"/>
    </row>
    <row r="442" spans="1:12" s="69" customFormat="1" ht="14.4">
      <c r="A442" s="89">
        <f>VLOOKUP(E442,Dim_Colegiado[],2,FALSE)</f>
        <v>9</v>
      </c>
      <c r="B442" s="90" t="str">
        <f t="shared" si="6"/>
        <v>2019</v>
      </c>
      <c r="C442" s="75" t="s">
        <v>589</v>
      </c>
      <c r="D442" s="91" t="s">
        <v>408</v>
      </c>
      <c r="E442" s="91" t="s">
        <v>209</v>
      </c>
      <c r="F442" s="88">
        <v>179532.9</v>
      </c>
      <c r="G442" s="82" t="s">
        <v>101</v>
      </c>
      <c r="H442" s="72" t="s">
        <v>123</v>
      </c>
      <c r="I442" s="91"/>
      <c r="J442" s="91" t="str">
        <f>LEFT(empreend_Fehidro[[#This Row],[suBpdc classifc]],1)</f>
        <v/>
      </c>
      <c r="K442" s="85"/>
      <c r="L442" s="293"/>
    </row>
    <row r="443" spans="1:12" s="69" customFormat="1" ht="14.4">
      <c r="A443" s="78">
        <f>VLOOKUP(E443,Dim_Colegiado[],2,FALSE)</f>
        <v>9</v>
      </c>
      <c r="B443" s="67" t="str">
        <f t="shared" si="6"/>
        <v>2019</v>
      </c>
      <c r="C443" s="74" t="s">
        <v>590</v>
      </c>
      <c r="D443" s="68" t="s">
        <v>408</v>
      </c>
      <c r="E443" s="68" t="s">
        <v>209</v>
      </c>
      <c r="F443" s="92">
        <v>239876.92</v>
      </c>
      <c r="G443" s="82" t="s">
        <v>101</v>
      </c>
      <c r="H443" s="72" t="s">
        <v>123</v>
      </c>
      <c r="I443" s="68"/>
      <c r="J443" s="68" t="str">
        <f>LEFT(empreend_Fehidro[[#This Row],[suBpdc classifc]],1)</f>
        <v/>
      </c>
      <c r="K443" s="86"/>
      <c r="L443" s="293"/>
    </row>
    <row r="444" spans="1:12" s="69" customFormat="1" ht="14.4">
      <c r="A444" s="89">
        <f>VLOOKUP(E444,Dim_Colegiado[],2,FALSE)</f>
        <v>9</v>
      </c>
      <c r="B444" s="90" t="str">
        <f t="shared" si="6"/>
        <v>2019</v>
      </c>
      <c r="C444" s="75" t="s">
        <v>591</v>
      </c>
      <c r="D444" s="91" t="s">
        <v>408</v>
      </c>
      <c r="E444" s="91" t="s">
        <v>209</v>
      </c>
      <c r="F444" s="88">
        <v>268412.84999999998</v>
      </c>
      <c r="G444" s="82" t="s">
        <v>101</v>
      </c>
      <c r="H444" s="72" t="s">
        <v>123</v>
      </c>
      <c r="I444" s="91"/>
      <c r="J444" s="91" t="str">
        <f>LEFT(empreend_Fehidro[[#This Row],[suBpdc classifc]],1)</f>
        <v/>
      </c>
      <c r="K444" s="85"/>
      <c r="L444" s="293"/>
    </row>
    <row r="445" spans="1:12" s="69" customFormat="1" ht="14.4">
      <c r="A445" s="78">
        <f>VLOOKUP(E445,Dim_Colegiado[],2,FALSE)</f>
        <v>9</v>
      </c>
      <c r="B445" s="67" t="str">
        <f t="shared" si="6"/>
        <v>2019</v>
      </c>
      <c r="C445" s="74" t="s">
        <v>592</v>
      </c>
      <c r="D445" s="68" t="s">
        <v>408</v>
      </c>
      <c r="E445" s="68" t="s">
        <v>209</v>
      </c>
      <c r="F445" s="92">
        <v>261939.84</v>
      </c>
      <c r="G445" s="82" t="s">
        <v>101</v>
      </c>
      <c r="H445" s="72" t="s">
        <v>123</v>
      </c>
      <c r="I445" s="68"/>
      <c r="J445" s="68" t="str">
        <f>LEFT(empreend_Fehidro[[#This Row],[suBpdc classifc]],1)</f>
        <v/>
      </c>
      <c r="K445" s="86"/>
      <c r="L445" s="293"/>
    </row>
    <row r="446" spans="1:12" s="69" customFormat="1" ht="14.4">
      <c r="A446" s="89">
        <f>VLOOKUP(E446,Dim_Colegiado[],2,FALSE)</f>
        <v>9</v>
      </c>
      <c r="B446" s="90" t="str">
        <f t="shared" si="6"/>
        <v>2019</v>
      </c>
      <c r="C446" s="75" t="s">
        <v>593</v>
      </c>
      <c r="D446" s="91" t="s">
        <v>408</v>
      </c>
      <c r="E446" s="91" t="s">
        <v>209</v>
      </c>
      <c r="F446" s="88">
        <v>259446.17</v>
      </c>
      <c r="G446" s="82" t="s">
        <v>101</v>
      </c>
      <c r="H446" s="72" t="s">
        <v>123</v>
      </c>
      <c r="I446" s="91"/>
      <c r="J446" s="91" t="str">
        <f>LEFT(empreend_Fehidro[[#This Row],[suBpdc classifc]],1)</f>
        <v/>
      </c>
      <c r="K446" s="85"/>
      <c r="L446" s="293"/>
    </row>
    <row r="447" spans="1:12" s="69" customFormat="1" ht="14.4">
      <c r="A447" s="78">
        <f>VLOOKUP(E447,Dim_Colegiado[],2,FALSE)</f>
        <v>9</v>
      </c>
      <c r="B447" s="67" t="str">
        <f t="shared" si="6"/>
        <v>2019</v>
      </c>
      <c r="C447" s="74" t="s">
        <v>594</v>
      </c>
      <c r="D447" s="68" t="s">
        <v>408</v>
      </c>
      <c r="E447" s="68" t="s">
        <v>209</v>
      </c>
      <c r="F447" s="92">
        <v>265777.62</v>
      </c>
      <c r="G447" s="82" t="s">
        <v>101</v>
      </c>
      <c r="H447" s="72" t="s">
        <v>123</v>
      </c>
      <c r="I447" s="68"/>
      <c r="J447" s="68" t="str">
        <f>LEFT(empreend_Fehidro[[#This Row],[suBpdc classifc]],1)</f>
        <v/>
      </c>
      <c r="K447" s="86"/>
      <c r="L447" s="293"/>
    </row>
    <row r="448" spans="1:12" s="69" customFormat="1" ht="14.4">
      <c r="A448" s="89">
        <f>VLOOKUP(E448,Dim_Colegiado[],2,FALSE)</f>
        <v>9</v>
      </c>
      <c r="B448" s="90" t="str">
        <f t="shared" si="6"/>
        <v>2019</v>
      </c>
      <c r="C448" s="75" t="s">
        <v>595</v>
      </c>
      <c r="D448" s="91" t="s">
        <v>408</v>
      </c>
      <c r="E448" s="91" t="s">
        <v>209</v>
      </c>
      <c r="F448" s="88">
        <v>280000</v>
      </c>
      <c r="G448" s="82" t="s">
        <v>101</v>
      </c>
      <c r="H448" s="72" t="s">
        <v>123</v>
      </c>
      <c r="I448" s="91"/>
      <c r="J448" s="91" t="str">
        <f>LEFT(empreend_Fehidro[[#This Row],[suBpdc classifc]],1)</f>
        <v/>
      </c>
      <c r="K448" s="85"/>
      <c r="L448" s="293"/>
    </row>
    <row r="449" spans="1:12" s="69" customFormat="1" ht="14.4">
      <c r="A449" s="78">
        <f>VLOOKUP(E449,Dim_Colegiado[],2,FALSE)</f>
        <v>9</v>
      </c>
      <c r="B449" s="67" t="str">
        <f t="shared" si="6"/>
        <v>2019</v>
      </c>
      <c r="C449" s="74" t="s">
        <v>596</v>
      </c>
      <c r="D449" s="68" t="s">
        <v>408</v>
      </c>
      <c r="E449" s="68" t="s">
        <v>209</v>
      </c>
      <c r="F449" s="92">
        <v>282389.40000000002</v>
      </c>
      <c r="G449" s="82" t="s">
        <v>101</v>
      </c>
      <c r="H449" s="72" t="s">
        <v>123</v>
      </c>
      <c r="I449" s="68"/>
      <c r="J449" s="68" t="str">
        <f>LEFT(empreend_Fehidro[[#This Row],[suBpdc classifc]],1)</f>
        <v/>
      </c>
      <c r="K449" s="86"/>
      <c r="L449" s="293"/>
    </row>
    <row r="450" spans="1:12" s="69" customFormat="1" ht="14.4">
      <c r="A450" s="89">
        <f>VLOOKUP(E450,Dim_Colegiado[],2,FALSE)</f>
        <v>9</v>
      </c>
      <c r="B450" s="90" t="str">
        <f t="shared" ref="B450:B513" si="7">LEFT(C450,4)</f>
        <v>2019</v>
      </c>
      <c r="C450" s="75" t="s">
        <v>597</v>
      </c>
      <c r="D450" s="91" t="s">
        <v>408</v>
      </c>
      <c r="E450" s="91" t="s">
        <v>209</v>
      </c>
      <c r="F450" s="88">
        <v>300000</v>
      </c>
      <c r="G450" s="82" t="s">
        <v>101</v>
      </c>
      <c r="H450" s="72" t="s">
        <v>123</v>
      </c>
      <c r="I450" s="91"/>
      <c r="J450" s="91" t="str">
        <f>LEFT(empreend_Fehidro[[#This Row],[suBpdc classifc]],1)</f>
        <v/>
      </c>
      <c r="K450" s="85"/>
      <c r="L450" s="293"/>
    </row>
    <row r="451" spans="1:12" s="70" customFormat="1" ht="14.4">
      <c r="A451" s="93">
        <f>VLOOKUP(E451,Dim_Colegiado[],2,FALSE)</f>
        <v>10</v>
      </c>
      <c r="B451" s="94" t="str">
        <f t="shared" si="7"/>
        <v>2019</v>
      </c>
      <c r="C451" s="76" t="s">
        <v>598</v>
      </c>
      <c r="D451" s="95" t="s">
        <v>411</v>
      </c>
      <c r="E451" s="95" t="s">
        <v>224</v>
      </c>
      <c r="F451" s="92">
        <v>162000</v>
      </c>
      <c r="G451" s="82" t="s">
        <v>101</v>
      </c>
      <c r="H451" s="72" t="s">
        <v>123</v>
      </c>
      <c r="I451" s="95"/>
      <c r="J451" s="95" t="str">
        <f>LEFT(empreend_Fehidro[[#This Row],[suBpdc classifc]],1)</f>
        <v/>
      </c>
      <c r="K451" s="86"/>
      <c r="L451" s="293"/>
    </row>
    <row r="452" spans="1:12" s="141" customFormat="1" ht="10.5" customHeight="1">
      <c r="A452" s="89">
        <f>VLOOKUP(E452,Dim_Colegiado[],2,FALSE)</f>
        <v>10</v>
      </c>
      <c r="B452" s="90" t="str">
        <f t="shared" si="7"/>
        <v>2019</v>
      </c>
      <c r="C452" s="75" t="s">
        <v>599</v>
      </c>
      <c r="D452" s="91" t="s">
        <v>411</v>
      </c>
      <c r="E452" s="91" t="s">
        <v>224</v>
      </c>
      <c r="F452" s="88">
        <v>254439.93</v>
      </c>
      <c r="G452" s="82" t="s">
        <v>101</v>
      </c>
      <c r="H452" s="72" t="s">
        <v>123</v>
      </c>
      <c r="I452" s="91"/>
      <c r="J452" s="91" t="str">
        <f>LEFT(empreend_Fehidro[[#This Row],[suBpdc classifc]],1)</f>
        <v/>
      </c>
      <c r="K452" s="85"/>
      <c r="L452" s="293"/>
    </row>
    <row r="453" spans="1:12" s="141" customFormat="1" ht="10.5" customHeight="1">
      <c r="A453" s="93">
        <f>VLOOKUP(E453,Dim_Colegiado[],2,FALSE)</f>
        <v>10</v>
      </c>
      <c r="B453" s="94" t="str">
        <f t="shared" si="7"/>
        <v>2019</v>
      </c>
      <c r="C453" s="76" t="s">
        <v>600</v>
      </c>
      <c r="D453" s="95" t="s">
        <v>411</v>
      </c>
      <c r="E453" s="95" t="s">
        <v>224</v>
      </c>
      <c r="F453" s="92">
        <v>531286.52</v>
      </c>
      <c r="G453" s="82" t="s">
        <v>101</v>
      </c>
      <c r="H453" s="72" t="s">
        <v>123</v>
      </c>
      <c r="I453" s="95"/>
      <c r="J453" s="95" t="str">
        <f>LEFT(empreend_Fehidro[[#This Row],[suBpdc classifc]],1)</f>
        <v/>
      </c>
      <c r="K453" s="86"/>
      <c r="L453" s="293"/>
    </row>
    <row r="454" spans="1:12" s="141" customFormat="1" ht="10.5" customHeight="1">
      <c r="A454" s="89">
        <f>VLOOKUP(E454,Dim_Colegiado[],2,FALSE)</f>
        <v>10</v>
      </c>
      <c r="B454" s="90" t="str">
        <f t="shared" si="7"/>
        <v>2019</v>
      </c>
      <c r="C454" s="75" t="s">
        <v>601</v>
      </c>
      <c r="D454" s="91" t="s">
        <v>411</v>
      </c>
      <c r="E454" s="91" t="s">
        <v>224</v>
      </c>
      <c r="F454" s="88">
        <v>120128.4</v>
      </c>
      <c r="G454" s="82" t="s">
        <v>101</v>
      </c>
      <c r="H454" s="72" t="s">
        <v>123</v>
      </c>
      <c r="I454" s="91"/>
      <c r="J454" s="91" t="str">
        <f>LEFT(empreend_Fehidro[[#This Row],[suBpdc classifc]],1)</f>
        <v/>
      </c>
      <c r="K454" s="85"/>
      <c r="L454" s="293"/>
    </row>
    <row r="455" spans="1:12" s="141" customFormat="1" ht="10.5" customHeight="1">
      <c r="A455" s="93">
        <f>VLOOKUP(E455,Dim_Colegiado[],2,FALSE)</f>
        <v>10</v>
      </c>
      <c r="B455" s="94" t="str">
        <f t="shared" si="7"/>
        <v>2019</v>
      </c>
      <c r="C455" s="76" t="s">
        <v>602</v>
      </c>
      <c r="D455" s="95" t="s">
        <v>411</v>
      </c>
      <c r="E455" s="95" t="s">
        <v>224</v>
      </c>
      <c r="F455" s="92">
        <v>701318.53</v>
      </c>
      <c r="G455" s="82" t="s">
        <v>101</v>
      </c>
      <c r="H455" s="72" t="s">
        <v>123</v>
      </c>
      <c r="I455" s="95"/>
      <c r="J455" s="95" t="str">
        <f>LEFT(empreend_Fehidro[[#This Row],[suBpdc classifc]],1)</f>
        <v/>
      </c>
      <c r="K455" s="86"/>
      <c r="L455" s="293"/>
    </row>
    <row r="456" spans="1:12" s="141" customFormat="1" ht="10.5" customHeight="1">
      <c r="A456" s="89">
        <f>VLOOKUP(E456,Dim_Colegiado[],2,FALSE)</f>
        <v>10</v>
      </c>
      <c r="B456" s="90" t="str">
        <f t="shared" si="7"/>
        <v>2019</v>
      </c>
      <c r="C456" s="75" t="s">
        <v>603</v>
      </c>
      <c r="D456" s="91" t="s">
        <v>411</v>
      </c>
      <c r="E456" s="91" t="s">
        <v>224</v>
      </c>
      <c r="F456" s="88">
        <v>144000</v>
      </c>
      <c r="G456" s="82" t="s">
        <v>101</v>
      </c>
      <c r="H456" s="72" t="s">
        <v>123</v>
      </c>
      <c r="I456" s="91"/>
      <c r="J456" s="91" t="str">
        <f>LEFT(empreend_Fehidro[[#This Row],[suBpdc classifc]],1)</f>
        <v/>
      </c>
      <c r="K456" s="85"/>
      <c r="L456" s="293"/>
    </row>
    <row r="457" spans="1:12" s="141" customFormat="1" ht="10.5" customHeight="1">
      <c r="A457" s="93">
        <f>VLOOKUP(E457,Dim_Colegiado[],2,FALSE)</f>
        <v>10</v>
      </c>
      <c r="B457" s="94" t="str">
        <f t="shared" si="7"/>
        <v>2019</v>
      </c>
      <c r="C457" s="76" t="s">
        <v>604</v>
      </c>
      <c r="D457" s="95" t="s">
        <v>411</v>
      </c>
      <c r="E457" s="95" t="s">
        <v>224</v>
      </c>
      <c r="F457" s="92">
        <v>227530</v>
      </c>
      <c r="G457" s="82" t="s">
        <v>101</v>
      </c>
      <c r="H457" s="72" t="s">
        <v>123</v>
      </c>
      <c r="I457" s="95"/>
      <c r="J457" s="95" t="str">
        <f>LEFT(empreend_Fehidro[[#This Row],[suBpdc classifc]],1)</f>
        <v/>
      </c>
      <c r="K457" s="86"/>
      <c r="L457" s="293"/>
    </row>
    <row r="458" spans="1:12" s="70" customFormat="1" ht="14.4">
      <c r="A458" s="89">
        <f>VLOOKUP(E458,Dim_Colegiado[],2,FALSE)</f>
        <v>10</v>
      </c>
      <c r="B458" s="90" t="str">
        <f t="shared" si="7"/>
        <v>2019</v>
      </c>
      <c r="C458" s="75" t="s">
        <v>605</v>
      </c>
      <c r="D458" s="91" t="s">
        <v>411</v>
      </c>
      <c r="E458" s="91" t="s">
        <v>224</v>
      </c>
      <c r="F458" s="88">
        <v>50782.74</v>
      </c>
      <c r="G458" s="82" t="s">
        <v>101</v>
      </c>
      <c r="H458" s="72" t="s">
        <v>123</v>
      </c>
      <c r="I458" s="91"/>
      <c r="J458" s="91" t="str">
        <f>LEFT(empreend_Fehidro[[#This Row],[suBpdc classifc]],1)</f>
        <v/>
      </c>
      <c r="K458" s="85"/>
      <c r="L458" s="293"/>
    </row>
    <row r="459" spans="1:12" s="141" customFormat="1" ht="10.5" customHeight="1">
      <c r="A459" s="93">
        <f>VLOOKUP(E459,Dim_Colegiado[],2,FALSE)</f>
        <v>10</v>
      </c>
      <c r="B459" s="94" t="str">
        <f t="shared" si="7"/>
        <v>2019</v>
      </c>
      <c r="C459" s="76" t="s">
        <v>606</v>
      </c>
      <c r="D459" s="95" t="s">
        <v>411</v>
      </c>
      <c r="E459" s="95" t="s">
        <v>224</v>
      </c>
      <c r="F459" s="92">
        <v>384160</v>
      </c>
      <c r="G459" s="82" t="s">
        <v>101</v>
      </c>
      <c r="H459" s="72" t="s">
        <v>123</v>
      </c>
      <c r="I459" s="95"/>
      <c r="J459" s="95" t="str">
        <f>LEFT(empreend_Fehidro[[#This Row],[suBpdc classifc]],1)</f>
        <v/>
      </c>
      <c r="K459" s="86"/>
      <c r="L459" s="293"/>
    </row>
    <row r="460" spans="1:12" s="141" customFormat="1" ht="10.5" customHeight="1">
      <c r="A460" s="89">
        <f>VLOOKUP(E460,Dim_Colegiado[],2,FALSE)</f>
        <v>10</v>
      </c>
      <c r="B460" s="90" t="str">
        <f t="shared" si="7"/>
        <v>2019</v>
      </c>
      <c r="C460" s="75" t="s">
        <v>607</v>
      </c>
      <c r="D460" s="91" t="s">
        <v>411</v>
      </c>
      <c r="E460" s="91" t="s">
        <v>224</v>
      </c>
      <c r="F460" s="88">
        <v>335710</v>
      </c>
      <c r="G460" s="82" t="s">
        <v>101</v>
      </c>
      <c r="H460" s="72" t="s">
        <v>123</v>
      </c>
      <c r="I460" s="91"/>
      <c r="J460" s="91" t="str">
        <f>LEFT(empreend_Fehidro[[#This Row],[suBpdc classifc]],1)</f>
        <v/>
      </c>
      <c r="K460" s="85"/>
      <c r="L460" s="293"/>
    </row>
    <row r="461" spans="1:12" s="70" customFormat="1" ht="14.4">
      <c r="A461" s="93">
        <f>VLOOKUP(E461,Dim_Colegiado[],2,FALSE)</f>
        <v>10</v>
      </c>
      <c r="B461" s="94" t="str">
        <f t="shared" si="7"/>
        <v>2019</v>
      </c>
      <c r="C461" s="76" t="s">
        <v>608</v>
      </c>
      <c r="D461" s="95" t="s">
        <v>411</v>
      </c>
      <c r="E461" s="95" t="s">
        <v>224</v>
      </c>
      <c r="F461" s="92">
        <v>275980.96000000002</v>
      </c>
      <c r="G461" s="82" t="s">
        <v>101</v>
      </c>
      <c r="H461" s="72" t="s">
        <v>123</v>
      </c>
      <c r="I461" s="95"/>
      <c r="J461" s="95" t="str">
        <f>LEFT(empreend_Fehidro[[#This Row],[suBpdc classifc]],1)</f>
        <v/>
      </c>
      <c r="K461" s="86"/>
      <c r="L461" s="293"/>
    </row>
    <row r="462" spans="1:12" s="141" customFormat="1" ht="10.5" customHeight="1">
      <c r="A462" s="89">
        <f>VLOOKUP(E462,Dim_Colegiado[],2,FALSE)</f>
        <v>10</v>
      </c>
      <c r="B462" s="90" t="str">
        <f t="shared" si="7"/>
        <v>2019</v>
      </c>
      <c r="C462" s="75" t="s">
        <v>609</v>
      </c>
      <c r="D462" s="91" t="s">
        <v>411</v>
      </c>
      <c r="E462" s="91" t="s">
        <v>224</v>
      </c>
      <c r="F462" s="88">
        <v>421356</v>
      </c>
      <c r="G462" s="82" t="s">
        <v>101</v>
      </c>
      <c r="H462" s="72" t="s">
        <v>123</v>
      </c>
      <c r="I462" s="91"/>
      <c r="J462" s="91" t="str">
        <f>LEFT(empreend_Fehidro[[#This Row],[suBpdc classifc]],1)</f>
        <v/>
      </c>
      <c r="K462" s="85"/>
      <c r="L462" s="293"/>
    </row>
    <row r="463" spans="1:12" s="141" customFormat="1" ht="10.5" customHeight="1">
      <c r="A463" s="93">
        <f>VLOOKUP(E463,Dim_Colegiado[],2,FALSE)</f>
        <v>10</v>
      </c>
      <c r="B463" s="94" t="str">
        <f t="shared" si="7"/>
        <v>2019</v>
      </c>
      <c r="C463" s="76" t="s">
        <v>610</v>
      </c>
      <c r="D463" s="95" t="s">
        <v>411</v>
      </c>
      <c r="E463" s="95" t="s">
        <v>224</v>
      </c>
      <c r="F463" s="92">
        <v>499274.6</v>
      </c>
      <c r="G463" s="82" t="s">
        <v>101</v>
      </c>
      <c r="H463" s="72" t="s">
        <v>123</v>
      </c>
      <c r="I463" s="95"/>
      <c r="J463" s="95" t="str">
        <f>LEFT(empreend_Fehidro[[#This Row],[suBpdc classifc]],1)</f>
        <v/>
      </c>
      <c r="K463" s="86"/>
      <c r="L463" s="293"/>
    </row>
    <row r="464" spans="1:12" s="141" customFormat="1" ht="10.5" customHeight="1">
      <c r="A464" s="89">
        <f>VLOOKUP(E464,Dim_Colegiado[],2,FALSE)</f>
        <v>10</v>
      </c>
      <c r="B464" s="90" t="str">
        <f t="shared" si="7"/>
        <v>2019</v>
      </c>
      <c r="C464" s="75" t="s">
        <v>611</v>
      </c>
      <c r="D464" s="91" t="s">
        <v>411</v>
      </c>
      <c r="E464" s="91" t="s">
        <v>224</v>
      </c>
      <c r="F464" s="88">
        <v>483700</v>
      </c>
      <c r="G464" s="82" t="s">
        <v>101</v>
      </c>
      <c r="H464" s="72" t="s">
        <v>123</v>
      </c>
      <c r="I464" s="91"/>
      <c r="J464" s="91" t="str">
        <f>LEFT(empreend_Fehidro[[#This Row],[suBpdc classifc]],1)</f>
        <v/>
      </c>
      <c r="K464" s="85"/>
      <c r="L464" s="293"/>
    </row>
    <row r="465" spans="1:12" s="70" customFormat="1" ht="14.4">
      <c r="A465" s="93">
        <f>VLOOKUP(E465,Dim_Colegiado[],2,FALSE)</f>
        <v>10</v>
      </c>
      <c r="B465" s="94" t="str">
        <f t="shared" si="7"/>
        <v>2019</v>
      </c>
      <c r="C465" s="76" t="s">
        <v>612</v>
      </c>
      <c r="D465" s="95" t="s">
        <v>411</v>
      </c>
      <c r="E465" s="95" t="s">
        <v>224</v>
      </c>
      <c r="F465" s="92">
        <v>651587.07999999996</v>
      </c>
      <c r="G465" s="82" t="s">
        <v>101</v>
      </c>
      <c r="H465" s="72" t="s">
        <v>123</v>
      </c>
      <c r="I465" s="95"/>
      <c r="J465" s="95" t="str">
        <f>LEFT(empreend_Fehidro[[#This Row],[suBpdc classifc]],1)</f>
        <v/>
      </c>
      <c r="K465" s="86"/>
      <c r="L465" s="293"/>
    </row>
    <row r="466" spans="1:12" s="141" customFormat="1" ht="10.5" customHeight="1">
      <c r="A466" s="89">
        <f>VLOOKUP(E466,Dim_Colegiado[],2,FALSE)</f>
        <v>10</v>
      </c>
      <c r="B466" s="90" t="str">
        <f t="shared" si="7"/>
        <v>2019</v>
      </c>
      <c r="C466" s="75" t="s">
        <v>613</v>
      </c>
      <c r="D466" s="91" t="s">
        <v>411</v>
      </c>
      <c r="E466" s="91" t="s">
        <v>224</v>
      </c>
      <c r="F466" s="88">
        <v>449566.68</v>
      </c>
      <c r="G466" s="82" t="s">
        <v>101</v>
      </c>
      <c r="H466" s="72" t="s">
        <v>123</v>
      </c>
      <c r="I466" s="91"/>
      <c r="J466" s="91" t="str">
        <f>LEFT(empreend_Fehidro[[#This Row],[suBpdc classifc]],1)</f>
        <v/>
      </c>
      <c r="K466" s="85"/>
      <c r="L466" s="293"/>
    </row>
    <row r="467" spans="1:12" s="69" customFormat="1" ht="14.4">
      <c r="A467" s="93">
        <f>VLOOKUP(E467,Dim_Colegiado[],2,FALSE)</f>
        <v>10</v>
      </c>
      <c r="B467" s="94" t="str">
        <f t="shared" si="7"/>
        <v>2019</v>
      </c>
      <c r="C467" s="76" t="s">
        <v>614</v>
      </c>
      <c r="D467" s="95" t="s">
        <v>397</v>
      </c>
      <c r="E467" s="95" t="s">
        <v>224</v>
      </c>
      <c r="F467" s="92">
        <v>495933.9</v>
      </c>
      <c r="G467" s="82" t="s">
        <v>101</v>
      </c>
      <c r="H467" s="72" t="s">
        <v>123</v>
      </c>
      <c r="I467" s="95"/>
      <c r="J467" s="95" t="str">
        <f>LEFT(empreend_Fehidro[[#This Row],[suBpdc classifc]],1)</f>
        <v/>
      </c>
      <c r="K467" s="86"/>
      <c r="L467" s="293"/>
    </row>
    <row r="468" spans="1:12" s="69" customFormat="1" ht="14.4">
      <c r="A468" s="89">
        <f>VLOOKUP(E468,Dim_Colegiado[],2,FALSE)</f>
        <v>10</v>
      </c>
      <c r="B468" s="90" t="str">
        <f t="shared" si="7"/>
        <v>2019</v>
      </c>
      <c r="C468" s="75" t="s">
        <v>615</v>
      </c>
      <c r="D468" s="91" t="s">
        <v>397</v>
      </c>
      <c r="E468" s="91" t="s">
        <v>224</v>
      </c>
      <c r="F468" s="88">
        <v>668025.24</v>
      </c>
      <c r="G468" s="82" t="s">
        <v>101</v>
      </c>
      <c r="H468" s="72" t="s">
        <v>123</v>
      </c>
      <c r="I468" s="91"/>
      <c r="J468" s="91" t="str">
        <f>LEFT(empreend_Fehidro[[#This Row],[suBpdc classifc]],1)</f>
        <v/>
      </c>
      <c r="K468" s="85"/>
      <c r="L468" s="293"/>
    </row>
    <row r="469" spans="1:12" s="69" customFormat="1" ht="14.4">
      <c r="A469" s="93">
        <f>VLOOKUP(E469,Dim_Colegiado[],2,FALSE)</f>
        <v>10</v>
      </c>
      <c r="B469" s="94" t="str">
        <f t="shared" si="7"/>
        <v>2019</v>
      </c>
      <c r="C469" s="76" t="s">
        <v>616</v>
      </c>
      <c r="D469" s="95" t="s">
        <v>397</v>
      </c>
      <c r="E469" s="95" t="s">
        <v>224</v>
      </c>
      <c r="F469" s="92">
        <v>290362.53000000003</v>
      </c>
      <c r="G469" s="82" t="s">
        <v>101</v>
      </c>
      <c r="H469" s="72" t="s">
        <v>123</v>
      </c>
      <c r="I469" s="95"/>
      <c r="J469" s="95" t="str">
        <f>LEFT(empreend_Fehidro[[#This Row],[suBpdc classifc]],1)</f>
        <v/>
      </c>
      <c r="K469" s="86"/>
      <c r="L469" s="293"/>
    </row>
    <row r="470" spans="1:12" s="69" customFormat="1" ht="14.4">
      <c r="A470" s="89">
        <f>VLOOKUP(E470,Dim_Colegiado[],2,FALSE)</f>
        <v>10</v>
      </c>
      <c r="B470" s="90" t="str">
        <f t="shared" si="7"/>
        <v>2019</v>
      </c>
      <c r="C470" s="75" t="s">
        <v>617</v>
      </c>
      <c r="D470" s="91" t="s">
        <v>397</v>
      </c>
      <c r="E470" s="91" t="s">
        <v>224</v>
      </c>
      <c r="F470" s="88">
        <v>543808.31999999995</v>
      </c>
      <c r="G470" s="82" t="s">
        <v>101</v>
      </c>
      <c r="H470" s="72" t="s">
        <v>123</v>
      </c>
      <c r="I470" s="91"/>
      <c r="J470" s="91" t="str">
        <f>LEFT(empreend_Fehidro[[#This Row],[suBpdc classifc]],1)</f>
        <v/>
      </c>
      <c r="K470" s="85"/>
      <c r="L470" s="293"/>
    </row>
    <row r="471" spans="1:12" s="69" customFormat="1" ht="14.4">
      <c r="A471" s="93">
        <f>VLOOKUP(E471,Dim_Colegiado[],2,FALSE)</f>
        <v>10</v>
      </c>
      <c r="B471" s="94" t="str">
        <f t="shared" si="7"/>
        <v>2019</v>
      </c>
      <c r="C471" s="76" t="s">
        <v>618</v>
      </c>
      <c r="D471" s="95" t="s">
        <v>397</v>
      </c>
      <c r="E471" s="95" t="s">
        <v>224</v>
      </c>
      <c r="F471" s="92">
        <v>630126.15</v>
      </c>
      <c r="G471" s="82" t="s">
        <v>101</v>
      </c>
      <c r="H471" s="72" t="s">
        <v>123</v>
      </c>
      <c r="I471" s="95"/>
      <c r="J471" s="95" t="str">
        <f>LEFT(empreend_Fehidro[[#This Row],[suBpdc classifc]],1)</f>
        <v/>
      </c>
      <c r="K471" s="86"/>
      <c r="L471" s="293"/>
    </row>
    <row r="472" spans="1:12" s="69" customFormat="1" ht="14.4">
      <c r="A472" s="89">
        <f>VLOOKUP(E472,Dim_Colegiado[],2,FALSE)</f>
        <v>10</v>
      </c>
      <c r="B472" s="90" t="str">
        <f t="shared" si="7"/>
        <v>2019</v>
      </c>
      <c r="C472" s="75" t="s">
        <v>619</v>
      </c>
      <c r="D472" s="91" t="s">
        <v>397</v>
      </c>
      <c r="E472" s="91" t="s">
        <v>224</v>
      </c>
      <c r="F472" s="88">
        <v>700000</v>
      </c>
      <c r="G472" s="82" t="s">
        <v>101</v>
      </c>
      <c r="H472" s="72" t="s">
        <v>123</v>
      </c>
      <c r="I472" s="91"/>
      <c r="J472" s="91" t="str">
        <f>LEFT(empreend_Fehidro[[#This Row],[suBpdc classifc]],1)</f>
        <v/>
      </c>
      <c r="K472" s="85"/>
      <c r="L472" s="293"/>
    </row>
    <row r="473" spans="1:12" s="69" customFormat="1" ht="14.4">
      <c r="A473" s="93">
        <f>VLOOKUP(E473,Dim_Colegiado[],2,FALSE)</f>
        <v>10</v>
      </c>
      <c r="B473" s="94" t="str">
        <f t="shared" si="7"/>
        <v>2019</v>
      </c>
      <c r="C473" s="76" t="s">
        <v>620</v>
      </c>
      <c r="D473" s="95" t="s">
        <v>397</v>
      </c>
      <c r="E473" s="95" t="s">
        <v>224</v>
      </c>
      <c r="F473" s="92">
        <v>780119.49</v>
      </c>
      <c r="G473" s="82" t="s">
        <v>101</v>
      </c>
      <c r="H473" s="72" t="s">
        <v>123</v>
      </c>
      <c r="I473" s="95"/>
      <c r="J473" s="95" t="str">
        <f>LEFT(empreend_Fehidro[[#This Row],[suBpdc classifc]],1)</f>
        <v/>
      </c>
      <c r="K473" s="86"/>
      <c r="L473" s="293"/>
    </row>
    <row r="474" spans="1:12" s="69" customFormat="1" ht="14.4">
      <c r="A474" s="89">
        <f>VLOOKUP(E474,Dim_Colegiado[],2,FALSE)</f>
        <v>10</v>
      </c>
      <c r="B474" s="90" t="str">
        <f t="shared" si="7"/>
        <v>2019</v>
      </c>
      <c r="C474" s="75" t="s">
        <v>621</v>
      </c>
      <c r="D474" s="91" t="s">
        <v>397</v>
      </c>
      <c r="E474" s="91" t="s">
        <v>224</v>
      </c>
      <c r="F474" s="88">
        <v>1840883.26</v>
      </c>
      <c r="G474" s="82" t="s">
        <v>101</v>
      </c>
      <c r="H474" s="72" t="s">
        <v>123</v>
      </c>
      <c r="I474" s="91"/>
      <c r="J474" s="91" t="str">
        <f>LEFT(empreend_Fehidro[[#This Row],[suBpdc classifc]],1)</f>
        <v/>
      </c>
      <c r="K474" s="85"/>
      <c r="L474" s="293"/>
    </row>
    <row r="475" spans="1:12" s="69" customFormat="1" ht="14.4">
      <c r="A475" s="93">
        <f>VLOOKUP(E475,Dim_Colegiado[],2,FALSE)</f>
        <v>10</v>
      </c>
      <c r="B475" s="94" t="str">
        <f t="shared" si="7"/>
        <v>2019</v>
      </c>
      <c r="C475" s="76" t="s">
        <v>622</v>
      </c>
      <c r="D475" s="95" t="s">
        <v>397</v>
      </c>
      <c r="E475" s="95" t="s">
        <v>224</v>
      </c>
      <c r="F475" s="92">
        <v>1800000</v>
      </c>
      <c r="G475" s="82" t="s">
        <v>101</v>
      </c>
      <c r="H475" s="72" t="s">
        <v>123</v>
      </c>
      <c r="I475" s="95"/>
      <c r="J475" s="95" t="str">
        <f>LEFT(empreend_Fehidro[[#This Row],[suBpdc classifc]],1)</f>
        <v/>
      </c>
      <c r="K475" s="86"/>
      <c r="L475" s="293"/>
    </row>
    <row r="476" spans="1:12" s="69" customFormat="1" ht="14.4">
      <c r="A476" s="89">
        <f>VLOOKUP(E476,Dim_Colegiado[],2,FALSE)</f>
        <v>10</v>
      </c>
      <c r="B476" s="90" t="str">
        <f t="shared" si="7"/>
        <v>2019</v>
      </c>
      <c r="C476" s="75" t="s">
        <v>623</v>
      </c>
      <c r="D476" s="91" t="s">
        <v>397</v>
      </c>
      <c r="E476" s="91" t="s">
        <v>224</v>
      </c>
      <c r="F476" s="88">
        <v>6285512.5700000003</v>
      </c>
      <c r="G476" s="82" t="s">
        <v>101</v>
      </c>
      <c r="H476" s="72" t="s">
        <v>123</v>
      </c>
      <c r="I476" s="91"/>
      <c r="J476" s="91" t="str">
        <f>LEFT(empreend_Fehidro[[#This Row],[suBpdc classifc]],1)</f>
        <v/>
      </c>
      <c r="K476" s="85"/>
      <c r="L476" s="293"/>
    </row>
    <row r="477" spans="1:12" s="69" customFormat="1" ht="14.4">
      <c r="A477" s="93">
        <f>VLOOKUP(E477,Dim_Colegiado[],2,FALSE)</f>
        <v>10</v>
      </c>
      <c r="B477" s="94" t="str">
        <f t="shared" si="7"/>
        <v>2019</v>
      </c>
      <c r="C477" s="76" t="s">
        <v>624</v>
      </c>
      <c r="D477" s="95" t="s">
        <v>408</v>
      </c>
      <c r="E477" s="95" t="s">
        <v>224</v>
      </c>
      <c r="F477" s="92">
        <v>158271.29</v>
      </c>
      <c r="G477" s="82" t="s">
        <v>101</v>
      </c>
      <c r="H477" s="72" t="s">
        <v>123</v>
      </c>
      <c r="I477" s="95"/>
      <c r="J477" s="95" t="str">
        <f>LEFT(empreend_Fehidro[[#This Row],[suBpdc classifc]],1)</f>
        <v/>
      </c>
      <c r="K477" s="86"/>
      <c r="L477" s="293"/>
    </row>
    <row r="478" spans="1:12" s="69" customFormat="1" ht="14.4">
      <c r="A478" s="89">
        <f>VLOOKUP(E478,Dim_Colegiado[],2,FALSE)</f>
        <v>10</v>
      </c>
      <c r="B478" s="90" t="str">
        <f t="shared" si="7"/>
        <v>2019</v>
      </c>
      <c r="C478" s="75" t="s">
        <v>625</v>
      </c>
      <c r="D478" s="91" t="s">
        <v>408</v>
      </c>
      <c r="E478" s="91" t="s">
        <v>224</v>
      </c>
      <c r="F478" s="88">
        <v>192364.45</v>
      </c>
      <c r="G478" s="82" t="s">
        <v>101</v>
      </c>
      <c r="H478" s="72" t="s">
        <v>123</v>
      </c>
      <c r="I478" s="91"/>
      <c r="J478" s="91" t="str">
        <f>LEFT(empreend_Fehidro[[#This Row],[suBpdc classifc]],1)</f>
        <v/>
      </c>
      <c r="K478" s="85"/>
      <c r="L478" s="293"/>
    </row>
    <row r="479" spans="1:12" s="69" customFormat="1" ht="14.4">
      <c r="A479" s="93">
        <f>VLOOKUP(E479,Dim_Colegiado[],2,FALSE)</f>
        <v>10</v>
      </c>
      <c r="B479" s="94" t="str">
        <f t="shared" si="7"/>
        <v>2019</v>
      </c>
      <c r="C479" s="76" t="s">
        <v>626</v>
      </c>
      <c r="D479" s="95" t="s">
        <v>408</v>
      </c>
      <c r="E479" s="95" t="s">
        <v>224</v>
      </c>
      <c r="F479" s="92">
        <v>494146.65</v>
      </c>
      <c r="G479" s="82" t="s">
        <v>101</v>
      </c>
      <c r="H479" s="72" t="s">
        <v>123</v>
      </c>
      <c r="I479" s="95"/>
      <c r="J479" s="95" t="str">
        <f>LEFT(empreend_Fehidro[[#This Row],[suBpdc classifc]],1)</f>
        <v/>
      </c>
      <c r="K479" s="86"/>
      <c r="L479" s="293"/>
    </row>
    <row r="480" spans="1:12" s="141" customFormat="1" ht="10.5" customHeight="1">
      <c r="A480" s="89">
        <f>VLOOKUP(E480,Dim_Colegiado[],2,FALSE)</f>
        <v>10</v>
      </c>
      <c r="B480" s="90" t="str">
        <f t="shared" si="7"/>
        <v>2019</v>
      </c>
      <c r="C480" s="75" t="s">
        <v>627</v>
      </c>
      <c r="D480" s="91" t="s">
        <v>408</v>
      </c>
      <c r="E480" s="91" t="s">
        <v>224</v>
      </c>
      <c r="F480" s="88">
        <v>531286.52</v>
      </c>
      <c r="G480" s="82" t="s">
        <v>101</v>
      </c>
      <c r="H480" s="72" t="s">
        <v>123</v>
      </c>
      <c r="I480" s="91"/>
      <c r="J480" s="91" t="str">
        <f>LEFT(empreend_Fehidro[[#This Row],[suBpdc classifc]],1)</f>
        <v/>
      </c>
      <c r="K480" s="85"/>
      <c r="L480" s="293"/>
    </row>
    <row r="481" spans="1:12" s="141" customFormat="1" ht="10.5" customHeight="1">
      <c r="A481" s="93">
        <f>VLOOKUP(E481,Dim_Colegiado[],2,FALSE)</f>
        <v>10</v>
      </c>
      <c r="B481" s="94" t="str">
        <f t="shared" si="7"/>
        <v>2019</v>
      </c>
      <c r="C481" s="76" t="s">
        <v>628</v>
      </c>
      <c r="D481" s="95" t="s">
        <v>408</v>
      </c>
      <c r="E481" s="95" t="s">
        <v>224</v>
      </c>
      <c r="F481" s="92">
        <v>3923165.75</v>
      </c>
      <c r="G481" s="82" t="s">
        <v>101</v>
      </c>
      <c r="H481" s="72" t="s">
        <v>123</v>
      </c>
      <c r="I481" s="95"/>
      <c r="J481" s="95" t="str">
        <f>LEFT(empreend_Fehidro[[#This Row],[suBpdc classifc]],1)</f>
        <v/>
      </c>
      <c r="K481" s="86"/>
      <c r="L481" s="293"/>
    </row>
    <row r="482" spans="1:12" s="70" customFormat="1" ht="14.4">
      <c r="A482" s="89">
        <f>VLOOKUP(E482,Dim_Colegiado[],2,FALSE)</f>
        <v>10</v>
      </c>
      <c r="B482" s="90" t="str">
        <f t="shared" si="7"/>
        <v>2019</v>
      </c>
      <c r="C482" s="75" t="s">
        <v>629</v>
      </c>
      <c r="D482" s="91" t="s">
        <v>408</v>
      </c>
      <c r="E482" s="91" t="s">
        <v>224</v>
      </c>
      <c r="F482" s="88">
        <v>58562.64</v>
      </c>
      <c r="G482" s="82" t="s">
        <v>101</v>
      </c>
      <c r="H482" s="72" t="s">
        <v>123</v>
      </c>
      <c r="I482" s="91"/>
      <c r="J482" s="91" t="str">
        <f>LEFT(empreend_Fehidro[[#This Row],[suBpdc classifc]],1)</f>
        <v/>
      </c>
      <c r="K482" s="85"/>
      <c r="L482" s="293"/>
    </row>
    <row r="483" spans="1:12" s="141" customFormat="1" ht="10.5" customHeight="1">
      <c r="A483" s="93">
        <f>VLOOKUP(E483,Dim_Colegiado[],2,FALSE)</f>
        <v>10</v>
      </c>
      <c r="B483" s="94" t="str">
        <f t="shared" si="7"/>
        <v>2019</v>
      </c>
      <c r="C483" s="76" t="s">
        <v>630</v>
      </c>
      <c r="D483" s="95" t="s">
        <v>408</v>
      </c>
      <c r="E483" s="95" t="s">
        <v>224</v>
      </c>
      <c r="F483" s="92">
        <v>168880</v>
      </c>
      <c r="G483" s="82" t="s">
        <v>101</v>
      </c>
      <c r="H483" s="72" t="s">
        <v>123</v>
      </c>
      <c r="I483" s="95"/>
      <c r="J483" s="95" t="str">
        <f>LEFT(empreend_Fehidro[[#This Row],[suBpdc classifc]],1)</f>
        <v/>
      </c>
      <c r="K483" s="86"/>
      <c r="L483" s="293"/>
    </row>
    <row r="484" spans="1:12" s="69" customFormat="1" ht="14.4">
      <c r="A484" s="89">
        <f>VLOOKUP(E484,Dim_Colegiado[],2,FALSE)</f>
        <v>10</v>
      </c>
      <c r="B484" s="90" t="str">
        <f t="shared" si="7"/>
        <v>2019</v>
      </c>
      <c r="C484" s="75" t="s">
        <v>631</v>
      </c>
      <c r="D484" s="91" t="s">
        <v>408</v>
      </c>
      <c r="E484" s="91" t="s">
        <v>224</v>
      </c>
      <c r="F484" s="88">
        <v>186402.97</v>
      </c>
      <c r="G484" s="82" t="s">
        <v>101</v>
      </c>
      <c r="H484" s="72" t="s">
        <v>123</v>
      </c>
      <c r="I484" s="91"/>
      <c r="J484" s="91" t="str">
        <f>LEFT(empreend_Fehidro[[#This Row],[suBpdc classifc]],1)</f>
        <v/>
      </c>
      <c r="K484" s="85"/>
      <c r="L484" s="293"/>
    </row>
    <row r="485" spans="1:12" s="69" customFormat="1" ht="14.4">
      <c r="A485" s="93">
        <f>VLOOKUP(E485,Dim_Colegiado[],2,FALSE)</f>
        <v>10</v>
      </c>
      <c r="B485" s="94" t="str">
        <f t="shared" si="7"/>
        <v>2019</v>
      </c>
      <c r="C485" s="76" t="s">
        <v>632</v>
      </c>
      <c r="D485" s="95" t="s">
        <v>408</v>
      </c>
      <c r="E485" s="95" t="s">
        <v>224</v>
      </c>
      <c r="F485" s="92">
        <v>314226</v>
      </c>
      <c r="G485" s="82" t="s">
        <v>101</v>
      </c>
      <c r="H485" s="72" t="s">
        <v>123</v>
      </c>
      <c r="I485" s="95"/>
      <c r="J485" s="95" t="str">
        <f>LEFT(empreend_Fehidro[[#This Row],[suBpdc classifc]],1)</f>
        <v/>
      </c>
      <c r="K485" s="86"/>
      <c r="L485" s="293"/>
    </row>
    <row r="486" spans="1:12" s="69" customFormat="1" ht="14.4">
      <c r="A486" s="89">
        <f>VLOOKUP(E486,Dim_Colegiado[],2,FALSE)</f>
        <v>10</v>
      </c>
      <c r="B486" s="90" t="str">
        <f t="shared" si="7"/>
        <v>2019</v>
      </c>
      <c r="C486" s="75" t="s">
        <v>633</v>
      </c>
      <c r="D486" s="91" t="s">
        <v>408</v>
      </c>
      <c r="E486" s="91" t="s">
        <v>224</v>
      </c>
      <c r="F486" s="88">
        <v>284659.90000000002</v>
      </c>
      <c r="G486" s="82" t="s">
        <v>101</v>
      </c>
      <c r="H486" s="72" t="s">
        <v>123</v>
      </c>
      <c r="I486" s="91"/>
      <c r="J486" s="91" t="str">
        <f>LEFT(empreend_Fehidro[[#This Row],[suBpdc classifc]],1)</f>
        <v/>
      </c>
      <c r="K486" s="85"/>
      <c r="L486" s="293"/>
    </row>
    <row r="487" spans="1:12" s="69" customFormat="1" ht="14.4">
      <c r="A487" s="93">
        <f>VLOOKUP(E487,Dim_Colegiado[],2,FALSE)</f>
        <v>10</v>
      </c>
      <c r="B487" s="94" t="str">
        <f t="shared" si="7"/>
        <v>2019</v>
      </c>
      <c r="C487" s="76" t="s">
        <v>634</v>
      </c>
      <c r="D487" s="95" t="s">
        <v>408</v>
      </c>
      <c r="E487" s="95" t="s">
        <v>224</v>
      </c>
      <c r="F487" s="92">
        <v>319933.90999999997</v>
      </c>
      <c r="G487" s="82" t="s">
        <v>101</v>
      </c>
      <c r="H487" s="72" t="s">
        <v>123</v>
      </c>
      <c r="I487" s="95"/>
      <c r="J487" s="95" t="str">
        <f>LEFT(empreend_Fehidro[[#This Row],[suBpdc classifc]],1)</f>
        <v/>
      </c>
      <c r="K487" s="86"/>
      <c r="L487" s="293"/>
    </row>
    <row r="488" spans="1:12" s="69" customFormat="1" ht="14.4">
      <c r="A488" s="89">
        <f>VLOOKUP(E488,Dim_Colegiado[],2,FALSE)</f>
        <v>10</v>
      </c>
      <c r="B488" s="90" t="str">
        <f t="shared" si="7"/>
        <v>2019</v>
      </c>
      <c r="C488" s="75" t="s">
        <v>635</v>
      </c>
      <c r="D488" s="91" t="s">
        <v>408</v>
      </c>
      <c r="E488" s="91" t="s">
        <v>224</v>
      </c>
      <c r="F488" s="88">
        <v>414059.31</v>
      </c>
      <c r="G488" s="82" t="s">
        <v>101</v>
      </c>
      <c r="H488" s="72" t="s">
        <v>123</v>
      </c>
      <c r="I488" s="91"/>
      <c r="J488" s="91" t="str">
        <f>LEFT(empreend_Fehidro[[#This Row],[suBpdc classifc]],1)</f>
        <v/>
      </c>
      <c r="K488" s="85"/>
      <c r="L488" s="293"/>
    </row>
    <row r="489" spans="1:12" s="69" customFormat="1" ht="14.4">
      <c r="A489" s="93">
        <f>VLOOKUP(E489,Dim_Colegiado[],2,FALSE)</f>
        <v>10</v>
      </c>
      <c r="B489" s="94" t="str">
        <f t="shared" si="7"/>
        <v>2019</v>
      </c>
      <c r="C489" s="76" t="s">
        <v>636</v>
      </c>
      <c r="D489" s="95" t="s">
        <v>408</v>
      </c>
      <c r="E489" s="95" t="s">
        <v>224</v>
      </c>
      <c r="F489" s="92">
        <v>531344</v>
      </c>
      <c r="G489" s="82" t="s">
        <v>101</v>
      </c>
      <c r="H489" s="72" t="s">
        <v>123</v>
      </c>
      <c r="I489" s="95"/>
      <c r="J489" s="95" t="str">
        <f>LEFT(empreend_Fehidro[[#This Row],[suBpdc classifc]],1)</f>
        <v/>
      </c>
      <c r="K489" s="86"/>
      <c r="L489" s="293"/>
    </row>
    <row r="490" spans="1:12" s="69" customFormat="1" ht="14.4">
      <c r="A490" s="89">
        <f>VLOOKUP(E490,Dim_Colegiado[],2,FALSE)</f>
        <v>10</v>
      </c>
      <c r="B490" s="90" t="str">
        <f t="shared" si="7"/>
        <v>2019</v>
      </c>
      <c r="C490" s="75" t="s">
        <v>637</v>
      </c>
      <c r="D490" s="91" t="s">
        <v>408</v>
      </c>
      <c r="E490" s="91" t="s">
        <v>224</v>
      </c>
      <c r="F490" s="88">
        <v>805589.55</v>
      </c>
      <c r="G490" s="82" t="s">
        <v>101</v>
      </c>
      <c r="H490" s="72" t="s">
        <v>123</v>
      </c>
      <c r="I490" s="91"/>
      <c r="J490" s="91" t="str">
        <f>LEFT(empreend_Fehidro[[#This Row],[suBpdc classifc]],1)</f>
        <v/>
      </c>
      <c r="K490" s="85"/>
      <c r="L490" s="293"/>
    </row>
    <row r="491" spans="1:12" s="69" customFormat="1" ht="14.4">
      <c r="A491" s="93">
        <f>VLOOKUP(E491,Dim_Colegiado[],2,FALSE)</f>
        <v>10</v>
      </c>
      <c r="B491" s="94" t="str">
        <f t="shared" si="7"/>
        <v>2019</v>
      </c>
      <c r="C491" s="76" t="s">
        <v>638</v>
      </c>
      <c r="D491" s="95" t="s">
        <v>408</v>
      </c>
      <c r="E491" s="95" t="s">
        <v>224</v>
      </c>
      <c r="F491" s="92">
        <v>1200000</v>
      </c>
      <c r="G491" s="82" t="s">
        <v>101</v>
      </c>
      <c r="H491" s="72" t="s">
        <v>123</v>
      </c>
      <c r="I491" s="95"/>
      <c r="J491" s="95" t="str">
        <f>LEFT(empreend_Fehidro[[#This Row],[suBpdc classifc]],1)</f>
        <v/>
      </c>
      <c r="K491" s="86"/>
      <c r="L491" s="293"/>
    </row>
    <row r="492" spans="1:12" s="69" customFormat="1" ht="14.4">
      <c r="A492" s="89">
        <f>VLOOKUP(E492,Dim_Colegiado[],2,FALSE)</f>
        <v>10</v>
      </c>
      <c r="B492" s="90" t="str">
        <f t="shared" si="7"/>
        <v>2019</v>
      </c>
      <c r="C492" s="75" t="s">
        <v>639</v>
      </c>
      <c r="D492" s="91" t="s">
        <v>408</v>
      </c>
      <c r="E492" s="91" t="s">
        <v>224</v>
      </c>
      <c r="F492" s="88">
        <v>1608864</v>
      </c>
      <c r="G492" s="82" t="s">
        <v>101</v>
      </c>
      <c r="H492" s="72" t="s">
        <v>123</v>
      </c>
      <c r="I492" s="91"/>
      <c r="J492" s="91" t="str">
        <f>LEFT(empreend_Fehidro[[#This Row],[suBpdc classifc]],1)</f>
        <v/>
      </c>
      <c r="K492" s="85"/>
      <c r="L492" s="293"/>
    </row>
    <row r="493" spans="1:12" s="69" customFormat="1" ht="14.4">
      <c r="A493" s="93">
        <f>VLOOKUP(E493,Dim_Colegiado[],2,FALSE)</f>
        <v>11</v>
      </c>
      <c r="B493" s="94" t="str">
        <f t="shared" si="7"/>
        <v>2019</v>
      </c>
      <c r="C493" s="76" t="s">
        <v>640</v>
      </c>
      <c r="D493" s="95" t="s">
        <v>411</v>
      </c>
      <c r="E493" s="95" t="s">
        <v>245</v>
      </c>
      <c r="F493" s="92">
        <v>149927.28</v>
      </c>
      <c r="G493" s="82" t="s">
        <v>101</v>
      </c>
      <c r="H493" s="72" t="s">
        <v>123</v>
      </c>
      <c r="I493" s="95"/>
      <c r="J493" s="95" t="str">
        <f>LEFT(empreend_Fehidro[[#This Row],[suBpdc classifc]],1)</f>
        <v/>
      </c>
      <c r="K493" s="86" t="s">
        <v>641</v>
      </c>
      <c r="L493" s="293"/>
    </row>
    <row r="494" spans="1:12" s="69" customFormat="1" ht="14.4">
      <c r="A494" s="89">
        <f>VLOOKUP(E494,Dim_Colegiado[],2,FALSE)</f>
        <v>11</v>
      </c>
      <c r="B494" s="90" t="str">
        <f t="shared" si="7"/>
        <v>2019</v>
      </c>
      <c r="C494" s="75" t="s">
        <v>642</v>
      </c>
      <c r="D494" s="91" t="s">
        <v>411</v>
      </c>
      <c r="E494" s="91" t="s">
        <v>245</v>
      </c>
      <c r="F494" s="88">
        <v>500000</v>
      </c>
      <c r="G494" s="82" t="s">
        <v>101</v>
      </c>
      <c r="H494" s="72" t="s">
        <v>123</v>
      </c>
      <c r="I494" s="91"/>
      <c r="J494" s="91" t="str">
        <f>LEFT(empreend_Fehidro[[#This Row],[suBpdc classifc]],1)</f>
        <v/>
      </c>
      <c r="K494" s="85" t="s">
        <v>641</v>
      </c>
      <c r="L494" s="293"/>
    </row>
    <row r="495" spans="1:12" s="69" customFormat="1" ht="14.4">
      <c r="A495" s="93">
        <f>VLOOKUP(E495,Dim_Colegiado[],2,FALSE)</f>
        <v>11</v>
      </c>
      <c r="B495" s="94" t="str">
        <f t="shared" si="7"/>
        <v>2019</v>
      </c>
      <c r="C495" s="76" t="s">
        <v>643</v>
      </c>
      <c r="D495" s="95" t="s">
        <v>411</v>
      </c>
      <c r="E495" s="95" t="s">
        <v>245</v>
      </c>
      <c r="F495" s="92">
        <v>498389.44</v>
      </c>
      <c r="G495" s="82" t="s">
        <v>101</v>
      </c>
      <c r="H495" s="72" t="s">
        <v>123</v>
      </c>
      <c r="I495" s="95"/>
      <c r="J495" s="95" t="str">
        <f>LEFT(empreend_Fehidro[[#This Row],[suBpdc classifc]],1)</f>
        <v/>
      </c>
      <c r="K495" s="86" t="s">
        <v>641</v>
      </c>
      <c r="L495" s="293"/>
    </row>
    <row r="496" spans="1:12" s="69" customFormat="1" ht="14.4">
      <c r="A496" s="89">
        <f>VLOOKUP(E496,Dim_Colegiado[],2,FALSE)</f>
        <v>11</v>
      </c>
      <c r="B496" s="90" t="str">
        <f t="shared" si="7"/>
        <v>2019</v>
      </c>
      <c r="C496" s="75" t="s">
        <v>644</v>
      </c>
      <c r="D496" s="91" t="s">
        <v>411</v>
      </c>
      <c r="E496" s="91" t="s">
        <v>245</v>
      </c>
      <c r="F496" s="88">
        <v>199999.93</v>
      </c>
      <c r="G496" s="82" t="s">
        <v>101</v>
      </c>
      <c r="H496" s="72" t="s">
        <v>123</v>
      </c>
      <c r="I496" s="91"/>
      <c r="J496" s="91" t="str">
        <f>LEFT(empreend_Fehidro[[#This Row],[suBpdc classifc]],1)</f>
        <v/>
      </c>
      <c r="K496" s="85" t="s">
        <v>641</v>
      </c>
      <c r="L496" s="293"/>
    </row>
    <row r="497" spans="1:12" s="141" customFormat="1" ht="10.5" customHeight="1">
      <c r="A497" s="93">
        <f>VLOOKUP(E497,Dim_Colegiado[],2,FALSE)</f>
        <v>11</v>
      </c>
      <c r="B497" s="94" t="str">
        <f t="shared" si="7"/>
        <v>2019</v>
      </c>
      <c r="C497" s="76" t="s">
        <v>645</v>
      </c>
      <c r="D497" s="95" t="s">
        <v>397</v>
      </c>
      <c r="E497" s="95" t="s">
        <v>245</v>
      </c>
      <c r="F497" s="92">
        <v>321550.67</v>
      </c>
      <c r="G497" s="82" t="s">
        <v>101</v>
      </c>
      <c r="H497" s="72" t="s">
        <v>123</v>
      </c>
      <c r="I497" s="95"/>
      <c r="J497" s="95" t="str">
        <f>LEFT(empreend_Fehidro[[#This Row],[suBpdc classifc]],1)</f>
        <v/>
      </c>
      <c r="K497" s="86" t="s">
        <v>641</v>
      </c>
      <c r="L497" s="293"/>
    </row>
    <row r="498" spans="1:12" s="141" customFormat="1" ht="10.5" customHeight="1">
      <c r="A498" s="89">
        <f>VLOOKUP(E498,Dim_Colegiado[],2,FALSE)</f>
        <v>11</v>
      </c>
      <c r="B498" s="90" t="str">
        <f t="shared" si="7"/>
        <v>2019</v>
      </c>
      <c r="C498" s="75" t="s">
        <v>646</v>
      </c>
      <c r="D498" s="91" t="s">
        <v>397</v>
      </c>
      <c r="E498" s="91" t="s">
        <v>245</v>
      </c>
      <c r="F498" s="88">
        <v>463140.66</v>
      </c>
      <c r="G498" s="82" t="s">
        <v>101</v>
      </c>
      <c r="H498" s="72" t="s">
        <v>123</v>
      </c>
      <c r="I498" s="91"/>
      <c r="J498" s="91" t="str">
        <f>LEFT(empreend_Fehidro[[#This Row],[suBpdc classifc]],1)</f>
        <v/>
      </c>
      <c r="K498" s="85" t="s">
        <v>641</v>
      </c>
      <c r="L498" s="293"/>
    </row>
    <row r="499" spans="1:12" s="141" customFormat="1" ht="10.5" customHeight="1">
      <c r="A499" s="93">
        <f>VLOOKUP(E499,Dim_Colegiado[],2,FALSE)</f>
        <v>11</v>
      </c>
      <c r="B499" s="94" t="str">
        <f t="shared" si="7"/>
        <v>2019</v>
      </c>
      <c r="C499" s="76" t="s">
        <v>647</v>
      </c>
      <c r="D499" s="95" t="s">
        <v>397</v>
      </c>
      <c r="E499" s="95" t="s">
        <v>245</v>
      </c>
      <c r="F499" s="92">
        <v>500000</v>
      </c>
      <c r="G499" s="82" t="s">
        <v>101</v>
      </c>
      <c r="H499" s="72" t="s">
        <v>123</v>
      </c>
      <c r="I499" s="95"/>
      <c r="J499" s="95" t="str">
        <f>LEFT(empreend_Fehidro[[#This Row],[suBpdc classifc]],1)</f>
        <v/>
      </c>
      <c r="K499" s="86" t="s">
        <v>641</v>
      </c>
      <c r="L499" s="293"/>
    </row>
    <row r="500" spans="1:12" s="69" customFormat="1" ht="14.4">
      <c r="A500" s="89">
        <f>VLOOKUP(E500,Dim_Colegiado[],2,FALSE)</f>
        <v>11</v>
      </c>
      <c r="B500" s="90" t="str">
        <f t="shared" si="7"/>
        <v>2019</v>
      </c>
      <c r="C500" s="75" t="s">
        <v>648</v>
      </c>
      <c r="D500" s="91" t="s">
        <v>397</v>
      </c>
      <c r="E500" s="91" t="s">
        <v>245</v>
      </c>
      <c r="F500" s="88">
        <v>80418.3</v>
      </c>
      <c r="G500" s="82" t="s">
        <v>101</v>
      </c>
      <c r="H500" s="72" t="s">
        <v>123</v>
      </c>
      <c r="I500" s="91"/>
      <c r="J500" s="91" t="str">
        <f>LEFT(empreend_Fehidro[[#This Row],[suBpdc classifc]],1)</f>
        <v/>
      </c>
      <c r="K500" s="85" t="s">
        <v>641</v>
      </c>
      <c r="L500" s="293"/>
    </row>
    <row r="501" spans="1:12" s="69" customFormat="1" ht="14.4">
      <c r="A501" s="93">
        <f>VLOOKUP(E501,Dim_Colegiado[],2,FALSE)</f>
        <v>11</v>
      </c>
      <c r="B501" s="94" t="str">
        <f t="shared" si="7"/>
        <v>2019</v>
      </c>
      <c r="C501" s="76" t="s">
        <v>649</v>
      </c>
      <c r="D501" s="95" t="s">
        <v>397</v>
      </c>
      <c r="E501" s="95" t="s">
        <v>245</v>
      </c>
      <c r="F501" s="92">
        <v>197992.35</v>
      </c>
      <c r="G501" s="82" t="s">
        <v>101</v>
      </c>
      <c r="H501" s="72" t="s">
        <v>123</v>
      </c>
      <c r="I501" s="95"/>
      <c r="J501" s="95" t="str">
        <f>LEFT(empreend_Fehidro[[#This Row],[suBpdc classifc]],1)</f>
        <v/>
      </c>
      <c r="K501" s="86" t="s">
        <v>641</v>
      </c>
      <c r="L501" s="293"/>
    </row>
    <row r="502" spans="1:12" s="69" customFormat="1" ht="14.4">
      <c r="A502" s="89">
        <f>VLOOKUP(E502,Dim_Colegiado[],2,FALSE)</f>
        <v>11</v>
      </c>
      <c r="B502" s="90" t="str">
        <f t="shared" si="7"/>
        <v>2019</v>
      </c>
      <c r="C502" s="75" t="s">
        <v>650</v>
      </c>
      <c r="D502" s="91" t="s">
        <v>397</v>
      </c>
      <c r="E502" s="91" t="s">
        <v>245</v>
      </c>
      <c r="F502" s="88">
        <v>213384.42</v>
      </c>
      <c r="G502" s="82" t="s">
        <v>101</v>
      </c>
      <c r="H502" s="72" t="s">
        <v>123</v>
      </c>
      <c r="I502" s="91"/>
      <c r="J502" s="91" t="str">
        <f>LEFT(empreend_Fehidro[[#This Row],[suBpdc classifc]],1)</f>
        <v/>
      </c>
      <c r="K502" s="85" t="s">
        <v>641</v>
      </c>
      <c r="L502" s="293"/>
    </row>
    <row r="503" spans="1:12" s="69" customFormat="1" ht="14.4">
      <c r="A503" s="93">
        <f>VLOOKUP(E503,Dim_Colegiado[],2,FALSE)</f>
        <v>11</v>
      </c>
      <c r="B503" s="94" t="str">
        <f t="shared" si="7"/>
        <v>2019</v>
      </c>
      <c r="C503" s="76" t="s">
        <v>651</v>
      </c>
      <c r="D503" s="95" t="s">
        <v>397</v>
      </c>
      <c r="E503" s="95" t="s">
        <v>245</v>
      </c>
      <c r="F503" s="92">
        <v>224543.91</v>
      </c>
      <c r="G503" s="82" t="s">
        <v>101</v>
      </c>
      <c r="H503" s="72" t="s">
        <v>123</v>
      </c>
      <c r="I503" s="95"/>
      <c r="J503" s="95" t="str">
        <f>LEFT(empreend_Fehidro[[#This Row],[suBpdc classifc]],1)</f>
        <v/>
      </c>
      <c r="K503" s="86" t="s">
        <v>641</v>
      </c>
      <c r="L503" s="293"/>
    </row>
    <row r="504" spans="1:12" s="69" customFormat="1" ht="14.4">
      <c r="A504" s="89">
        <f>VLOOKUP(E504,Dim_Colegiado[],2,FALSE)</f>
        <v>11</v>
      </c>
      <c r="B504" s="90" t="str">
        <f t="shared" si="7"/>
        <v>2019</v>
      </c>
      <c r="C504" s="75" t="s">
        <v>652</v>
      </c>
      <c r="D504" s="91" t="s">
        <v>397</v>
      </c>
      <c r="E504" s="91" t="s">
        <v>245</v>
      </c>
      <c r="F504" s="88">
        <v>255290.14</v>
      </c>
      <c r="G504" s="82" t="s">
        <v>101</v>
      </c>
      <c r="H504" s="72" t="s">
        <v>123</v>
      </c>
      <c r="I504" s="91"/>
      <c r="J504" s="91" t="str">
        <f>LEFT(empreend_Fehidro[[#This Row],[suBpdc classifc]],1)</f>
        <v/>
      </c>
      <c r="K504" s="85" t="s">
        <v>641</v>
      </c>
      <c r="L504" s="293"/>
    </row>
    <row r="505" spans="1:12" s="69" customFormat="1" ht="14.4">
      <c r="A505" s="93">
        <f>VLOOKUP(E505,Dim_Colegiado[],2,FALSE)</f>
        <v>11</v>
      </c>
      <c r="B505" s="94" t="str">
        <f t="shared" si="7"/>
        <v>2019</v>
      </c>
      <c r="C505" s="76" t="s">
        <v>653</v>
      </c>
      <c r="D505" s="95" t="s">
        <v>397</v>
      </c>
      <c r="E505" s="95" t="s">
        <v>245</v>
      </c>
      <c r="F505" s="92">
        <v>332948</v>
      </c>
      <c r="G505" s="82" t="s">
        <v>101</v>
      </c>
      <c r="H505" s="72" t="s">
        <v>123</v>
      </c>
      <c r="I505" s="95"/>
      <c r="J505" s="95" t="str">
        <f>LEFT(empreend_Fehidro[[#This Row],[suBpdc classifc]],1)</f>
        <v/>
      </c>
      <c r="K505" s="86" t="s">
        <v>641</v>
      </c>
      <c r="L505" s="293"/>
    </row>
    <row r="506" spans="1:12" s="69" customFormat="1" ht="14.4">
      <c r="A506" s="89">
        <f>VLOOKUP(E506,Dim_Colegiado[],2,FALSE)</f>
        <v>11</v>
      </c>
      <c r="B506" s="90" t="str">
        <f t="shared" si="7"/>
        <v>2019</v>
      </c>
      <c r="C506" s="75" t="s">
        <v>654</v>
      </c>
      <c r="D506" s="91" t="s">
        <v>397</v>
      </c>
      <c r="E506" s="91" t="s">
        <v>245</v>
      </c>
      <c r="F506" s="88">
        <v>498389.27</v>
      </c>
      <c r="G506" s="82" t="s">
        <v>101</v>
      </c>
      <c r="H506" s="72" t="s">
        <v>123</v>
      </c>
      <c r="I506" s="91"/>
      <c r="J506" s="91" t="str">
        <f>LEFT(empreend_Fehidro[[#This Row],[suBpdc classifc]],1)</f>
        <v/>
      </c>
      <c r="K506" s="85" t="s">
        <v>641</v>
      </c>
      <c r="L506" s="293"/>
    </row>
    <row r="507" spans="1:12" s="69" customFormat="1" ht="14.4">
      <c r="A507" s="93">
        <f>VLOOKUP(E507,Dim_Colegiado[],2,FALSE)</f>
        <v>11</v>
      </c>
      <c r="B507" s="94" t="str">
        <f t="shared" si="7"/>
        <v>2019</v>
      </c>
      <c r="C507" s="76" t="s">
        <v>655</v>
      </c>
      <c r="D507" s="95" t="s">
        <v>397</v>
      </c>
      <c r="E507" s="95" t="s">
        <v>245</v>
      </c>
      <c r="F507" s="92">
        <v>486961.38</v>
      </c>
      <c r="G507" s="82" t="s">
        <v>101</v>
      </c>
      <c r="H507" s="72" t="s">
        <v>123</v>
      </c>
      <c r="I507" s="95"/>
      <c r="J507" s="95" t="str">
        <f>LEFT(empreend_Fehidro[[#This Row],[suBpdc classifc]],1)</f>
        <v/>
      </c>
      <c r="K507" s="86" t="s">
        <v>641</v>
      </c>
      <c r="L507" s="293"/>
    </row>
    <row r="508" spans="1:12" s="69" customFormat="1" ht="14.4">
      <c r="A508" s="89">
        <f>VLOOKUP(E508,Dim_Colegiado[],2,FALSE)</f>
        <v>11</v>
      </c>
      <c r="B508" s="90" t="str">
        <f t="shared" si="7"/>
        <v>2019</v>
      </c>
      <c r="C508" s="75" t="s">
        <v>656</v>
      </c>
      <c r="D508" s="91" t="s">
        <v>397</v>
      </c>
      <c r="E508" s="91" t="s">
        <v>245</v>
      </c>
      <c r="F508" s="88">
        <v>486961.38</v>
      </c>
      <c r="G508" s="82" t="s">
        <v>101</v>
      </c>
      <c r="H508" s="72" t="s">
        <v>123</v>
      </c>
      <c r="I508" s="91"/>
      <c r="J508" s="91" t="str">
        <f>LEFT(empreend_Fehidro[[#This Row],[suBpdc classifc]],1)</f>
        <v/>
      </c>
      <c r="K508" s="85" t="s">
        <v>641</v>
      </c>
      <c r="L508" s="293"/>
    </row>
    <row r="509" spans="1:12" s="69" customFormat="1" ht="14.4">
      <c r="A509" s="93">
        <f>VLOOKUP(E509,Dim_Colegiado[],2,FALSE)</f>
        <v>11</v>
      </c>
      <c r="B509" s="94" t="str">
        <f t="shared" si="7"/>
        <v>2019</v>
      </c>
      <c r="C509" s="76" t="s">
        <v>657</v>
      </c>
      <c r="D509" s="95" t="s">
        <v>397</v>
      </c>
      <c r="E509" s="95" t="s">
        <v>245</v>
      </c>
      <c r="F509" s="92">
        <v>486961.38</v>
      </c>
      <c r="G509" s="82" t="s">
        <v>101</v>
      </c>
      <c r="H509" s="72" t="s">
        <v>123</v>
      </c>
      <c r="I509" s="95"/>
      <c r="J509" s="95" t="str">
        <f>LEFT(empreend_Fehidro[[#This Row],[suBpdc classifc]],1)</f>
        <v/>
      </c>
      <c r="K509" s="86" t="s">
        <v>641</v>
      </c>
      <c r="L509" s="293"/>
    </row>
    <row r="510" spans="1:12" s="69" customFormat="1" ht="14.4">
      <c r="A510" s="89">
        <f>VLOOKUP(E510,Dim_Colegiado[],2,FALSE)</f>
        <v>11</v>
      </c>
      <c r="B510" s="90" t="str">
        <f t="shared" si="7"/>
        <v>2019</v>
      </c>
      <c r="C510" s="75" t="s">
        <v>658</v>
      </c>
      <c r="D510" s="91" t="s">
        <v>397</v>
      </c>
      <c r="E510" s="91" t="s">
        <v>245</v>
      </c>
      <c r="F510" s="88">
        <v>500000</v>
      </c>
      <c r="G510" s="82" t="s">
        <v>101</v>
      </c>
      <c r="H510" s="72" t="s">
        <v>123</v>
      </c>
      <c r="I510" s="91"/>
      <c r="J510" s="91" t="str">
        <f>LEFT(empreend_Fehidro[[#This Row],[suBpdc classifc]],1)</f>
        <v/>
      </c>
      <c r="K510" s="85" t="s">
        <v>641</v>
      </c>
      <c r="L510" s="293"/>
    </row>
    <row r="511" spans="1:12" s="69" customFormat="1" ht="14.4">
      <c r="A511" s="93">
        <f>VLOOKUP(E511,Dim_Colegiado[],2,FALSE)</f>
        <v>11</v>
      </c>
      <c r="B511" s="94" t="str">
        <f t="shared" si="7"/>
        <v>2019</v>
      </c>
      <c r="C511" s="76" t="s">
        <v>659</v>
      </c>
      <c r="D511" s="95" t="s">
        <v>397</v>
      </c>
      <c r="E511" s="95" t="s">
        <v>245</v>
      </c>
      <c r="F511" s="92">
        <v>500000</v>
      </c>
      <c r="G511" s="82" t="s">
        <v>101</v>
      </c>
      <c r="H511" s="72" t="s">
        <v>123</v>
      </c>
      <c r="I511" s="95"/>
      <c r="J511" s="95" t="str">
        <f>LEFT(empreend_Fehidro[[#This Row],[suBpdc classifc]],1)</f>
        <v/>
      </c>
      <c r="K511" s="86" t="s">
        <v>641</v>
      </c>
      <c r="L511" s="293"/>
    </row>
    <row r="512" spans="1:12" s="69" customFormat="1" ht="14.4">
      <c r="A512" s="89">
        <f>VLOOKUP(E512,Dim_Colegiado[],2,FALSE)</f>
        <v>11</v>
      </c>
      <c r="B512" s="90" t="str">
        <f t="shared" si="7"/>
        <v>2019</v>
      </c>
      <c r="C512" s="75" t="s">
        <v>660</v>
      </c>
      <c r="D512" s="91" t="s">
        <v>408</v>
      </c>
      <c r="E512" s="91" t="s">
        <v>245</v>
      </c>
      <c r="F512" s="88">
        <v>136045.63</v>
      </c>
      <c r="G512" s="82" t="s">
        <v>101</v>
      </c>
      <c r="H512" s="72" t="s">
        <v>123</v>
      </c>
      <c r="I512" s="91"/>
      <c r="J512" s="91" t="str">
        <f>LEFT(empreend_Fehidro[[#This Row],[suBpdc classifc]],1)</f>
        <v/>
      </c>
      <c r="K512" s="85" t="s">
        <v>641</v>
      </c>
      <c r="L512" s="293"/>
    </row>
    <row r="513" spans="1:12" s="69" customFormat="1" ht="14.4">
      <c r="A513" s="93">
        <f>VLOOKUP(E513,Dim_Colegiado[],2,FALSE)</f>
        <v>11</v>
      </c>
      <c r="B513" s="94" t="str">
        <f t="shared" si="7"/>
        <v>2019</v>
      </c>
      <c r="C513" s="76" t="s">
        <v>661</v>
      </c>
      <c r="D513" s="95" t="s">
        <v>408</v>
      </c>
      <c r="E513" s="95" t="s">
        <v>245</v>
      </c>
      <c r="F513" s="92">
        <v>148298.22</v>
      </c>
      <c r="G513" s="82" t="s">
        <v>101</v>
      </c>
      <c r="H513" s="72" t="s">
        <v>123</v>
      </c>
      <c r="I513" s="95"/>
      <c r="J513" s="95" t="str">
        <f>LEFT(empreend_Fehidro[[#This Row],[suBpdc classifc]],1)</f>
        <v/>
      </c>
      <c r="K513" s="86" t="s">
        <v>641</v>
      </c>
      <c r="L513" s="293"/>
    </row>
    <row r="514" spans="1:12" s="69" customFormat="1" ht="14.4">
      <c r="A514" s="89">
        <f>VLOOKUP(E514,Dim_Colegiado[],2,FALSE)</f>
        <v>11</v>
      </c>
      <c r="B514" s="90" t="str">
        <f t="shared" ref="B514:B577" si="8">LEFT(C514,4)</f>
        <v>2019</v>
      </c>
      <c r="C514" s="75" t="s">
        <v>662</v>
      </c>
      <c r="D514" s="91" t="s">
        <v>408</v>
      </c>
      <c r="E514" s="91" t="s">
        <v>245</v>
      </c>
      <c r="F514" s="88">
        <v>311080</v>
      </c>
      <c r="G514" s="82" t="s">
        <v>101</v>
      </c>
      <c r="H514" s="72" t="s">
        <v>123</v>
      </c>
      <c r="I514" s="91"/>
      <c r="J514" s="91" t="str">
        <f>LEFT(empreend_Fehidro[[#This Row],[suBpdc classifc]],1)</f>
        <v/>
      </c>
      <c r="K514" s="85" t="s">
        <v>641</v>
      </c>
      <c r="L514" s="293"/>
    </row>
    <row r="515" spans="1:12" s="69" customFormat="1" ht="14.4">
      <c r="A515" s="93">
        <f>VLOOKUP(E515,Dim_Colegiado[],2,FALSE)</f>
        <v>11</v>
      </c>
      <c r="B515" s="94" t="str">
        <f t="shared" si="8"/>
        <v>2019</v>
      </c>
      <c r="C515" s="76" t="s">
        <v>663</v>
      </c>
      <c r="D515" s="95" t="s">
        <v>408</v>
      </c>
      <c r="E515" s="95" t="s">
        <v>245</v>
      </c>
      <c r="F515" s="92">
        <v>267732.42</v>
      </c>
      <c r="G515" s="82" t="s">
        <v>101</v>
      </c>
      <c r="H515" s="72" t="s">
        <v>123</v>
      </c>
      <c r="I515" s="95"/>
      <c r="J515" s="95" t="str">
        <f>LEFT(empreend_Fehidro[[#This Row],[suBpdc classifc]],1)</f>
        <v/>
      </c>
      <c r="K515" s="86" t="s">
        <v>641</v>
      </c>
      <c r="L515" s="293"/>
    </row>
    <row r="516" spans="1:12" s="69" customFormat="1" ht="14.4">
      <c r="A516" s="89">
        <f>VLOOKUP(E516,Dim_Colegiado[],2,FALSE)</f>
        <v>11</v>
      </c>
      <c r="B516" s="90" t="str">
        <f t="shared" si="8"/>
        <v>2019</v>
      </c>
      <c r="C516" s="75" t="s">
        <v>664</v>
      </c>
      <c r="D516" s="91" t="s">
        <v>408</v>
      </c>
      <c r="E516" s="91" t="s">
        <v>245</v>
      </c>
      <c r="F516" s="88">
        <v>284987.55</v>
      </c>
      <c r="G516" s="82" t="s">
        <v>101</v>
      </c>
      <c r="H516" s="72" t="s">
        <v>123</v>
      </c>
      <c r="I516" s="91"/>
      <c r="J516" s="91" t="str">
        <f>LEFT(empreend_Fehidro[[#This Row],[suBpdc classifc]],1)</f>
        <v/>
      </c>
      <c r="K516" s="85" t="s">
        <v>641</v>
      </c>
      <c r="L516" s="293"/>
    </row>
    <row r="517" spans="1:12" s="69" customFormat="1" ht="14.4">
      <c r="A517" s="93">
        <f>VLOOKUP(E517,Dim_Colegiado[],2,FALSE)</f>
        <v>11</v>
      </c>
      <c r="B517" s="94" t="str">
        <f t="shared" si="8"/>
        <v>2019</v>
      </c>
      <c r="C517" s="76" t="s">
        <v>665</v>
      </c>
      <c r="D517" s="95" t="s">
        <v>408</v>
      </c>
      <c r="E517" s="95" t="s">
        <v>245</v>
      </c>
      <c r="F517" s="92">
        <v>332529.59000000003</v>
      </c>
      <c r="G517" s="82" t="s">
        <v>101</v>
      </c>
      <c r="H517" s="72" t="s">
        <v>123</v>
      </c>
      <c r="I517" s="95"/>
      <c r="J517" s="95" t="str">
        <f>LEFT(empreend_Fehidro[[#This Row],[suBpdc classifc]],1)</f>
        <v/>
      </c>
      <c r="K517" s="86" t="s">
        <v>641</v>
      </c>
      <c r="L517" s="293"/>
    </row>
    <row r="518" spans="1:12" s="69" customFormat="1" ht="14.4">
      <c r="A518" s="89">
        <f>VLOOKUP(E518,Dim_Colegiado[],2,FALSE)</f>
        <v>11</v>
      </c>
      <c r="B518" s="90" t="str">
        <f t="shared" si="8"/>
        <v>2019</v>
      </c>
      <c r="C518" s="75" t="s">
        <v>666</v>
      </c>
      <c r="D518" s="91" t="s">
        <v>408</v>
      </c>
      <c r="E518" s="91" t="s">
        <v>245</v>
      </c>
      <c r="F518" s="88">
        <v>468169.72</v>
      </c>
      <c r="G518" s="82" t="s">
        <v>101</v>
      </c>
      <c r="H518" s="72" t="s">
        <v>123</v>
      </c>
      <c r="I518" s="91"/>
      <c r="J518" s="91" t="str">
        <f>LEFT(empreend_Fehidro[[#This Row],[suBpdc classifc]],1)</f>
        <v/>
      </c>
      <c r="K518" s="85" t="s">
        <v>641</v>
      </c>
      <c r="L518" s="293"/>
    </row>
    <row r="519" spans="1:12" s="69" customFormat="1" ht="14.4">
      <c r="A519" s="93">
        <f>VLOOKUP(E519,Dim_Colegiado[],2,FALSE)</f>
        <v>11</v>
      </c>
      <c r="B519" s="94" t="str">
        <f t="shared" si="8"/>
        <v>2019</v>
      </c>
      <c r="C519" s="76" t="s">
        <v>667</v>
      </c>
      <c r="D519" s="95" t="s">
        <v>408</v>
      </c>
      <c r="E519" s="95" t="s">
        <v>245</v>
      </c>
      <c r="F519" s="92">
        <v>90000</v>
      </c>
      <c r="G519" s="82" t="s">
        <v>101</v>
      </c>
      <c r="H519" s="72" t="s">
        <v>123</v>
      </c>
      <c r="I519" s="95"/>
      <c r="J519" s="95" t="str">
        <f>LEFT(empreend_Fehidro[[#This Row],[suBpdc classifc]],1)</f>
        <v/>
      </c>
      <c r="K519" s="86" t="s">
        <v>641</v>
      </c>
      <c r="L519" s="293"/>
    </row>
    <row r="520" spans="1:12" s="69" customFormat="1" ht="14.4">
      <c r="A520" s="89">
        <f>VLOOKUP(E520,Dim_Colegiado[],2,FALSE)</f>
        <v>11</v>
      </c>
      <c r="B520" s="90" t="str">
        <f t="shared" si="8"/>
        <v>2019</v>
      </c>
      <c r="C520" s="75" t="s">
        <v>668</v>
      </c>
      <c r="D520" s="91" t="s">
        <v>408</v>
      </c>
      <c r="E520" s="91" t="s">
        <v>245</v>
      </c>
      <c r="F520" s="88">
        <v>227258.75</v>
      </c>
      <c r="G520" s="82" t="s">
        <v>101</v>
      </c>
      <c r="H520" s="72" t="s">
        <v>123</v>
      </c>
      <c r="I520" s="91"/>
      <c r="J520" s="91" t="str">
        <f>LEFT(empreend_Fehidro[[#This Row],[suBpdc classifc]],1)</f>
        <v/>
      </c>
      <c r="K520" s="85" t="s">
        <v>641</v>
      </c>
      <c r="L520" s="293"/>
    </row>
    <row r="521" spans="1:12" s="69" customFormat="1" ht="14.4">
      <c r="A521" s="93">
        <f>VLOOKUP(E521,Dim_Colegiado[],2,FALSE)</f>
        <v>11</v>
      </c>
      <c r="B521" s="94" t="str">
        <f t="shared" si="8"/>
        <v>2019</v>
      </c>
      <c r="C521" s="76" t="s">
        <v>669</v>
      </c>
      <c r="D521" s="95" t="s">
        <v>408</v>
      </c>
      <c r="E521" s="95" t="s">
        <v>245</v>
      </c>
      <c r="F521" s="92">
        <v>239918.6</v>
      </c>
      <c r="G521" s="82" t="s">
        <v>101</v>
      </c>
      <c r="H521" s="72" t="s">
        <v>123</v>
      </c>
      <c r="I521" s="95"/>
      <c r="J521" s="95" t="str">
        <f>LEFT(empreend_Fehidro[[#This Row],[suBpdc classifc]],1)</f>
        <v/>
      </c>
      <c r="K521" s="86" t="s">
        <v>641</v>
      </c>
      <c r="L521" s="293"/>
    </row>
    <row r="522" spans="1:12" s="69" customFormat="1" ht="14.4">
      <c r="A522" s="89">
        <f>VLOOKUP(E522,Dim_Colegiado[],2,FALSE)</f>
        <v>11</v>
      </c>
      <c r="B522" s="90" t="str">
        <f t="shared" si="8"/>
        <v>2019</v>
      </c>
      <c r="C522" s="75" t="s">
        <v>670</v>
      </c>
      <c r="D522" s="91" t="s">
        <v>408</v>
      </c>
      <c r="E522" s="91" t="s">
        <v>245</v>
      </c>
      <c r="F522" s="88">
        <v>245000</v>
      </c>
      <c r="G522" s="82" t="s">
        <v>101</v>
      </c>
      <c r="H522" s="72" t="s">
        <v>123</v>
      </c>
      <c r="I522" s="91"/>
      <c r="J522" s="91" t="str">
        <f>LEFT(empreend_Fehidro[[#This Row],[suBpdc classifc]],1)</f>
        <v/>
      </c>
      <c r="K522" s="85" t="s">
        <v>641</v>
      </c>
      <c r="L522" s="293"/>
    </row>
    <row r="523" spans="1:12" s="141" customFormat="1" ht="10.5" customHeight="1">
      <c r="A523" s="93">
        <f>VLOOKUP(E523,Dim_Colegiado[],2,FALSE)</f>
        <v>11</v>
      </c>
      <c r="B523" s="94" t="str">
        <f t="shared" si="8"/>
        <v>2019</v>
      </c>
      <c r="C523" s="76" t="s">
        <v>671</v>
      </c>
      <c r="D523" s="95" t="s">
        <v>408</v>
      </c>
      <c r="E523" s="95" t="s">
        <v>245</v>
      </c>
      <c r="F523" s="92">
        <v>291379.5</v>
      </c>
      <c r="G523" s="82" t="s">
        <v>101</v>
      </c>
      <c r="H523" s="72" t="s">
        <v>123</v>
      </c>
      <c r="I523" s="95"/>
      <c r="J523" s="95" t="str">
        <f>LEFT(empreend_Fehidro[[#This Row],[suBpdc classifc]],1)</f>
        <v/>
      </c>
      <c r="K523" s="86" t="s">
        <v>641</v>
      </c>
      <c r="L523" s="293"/>
    </row>
    <row r="524" spans="1:12" s="141" customFormat="1" ht="10.5" customHeight="1">
      <c r="A524" s="89">
        <f>VLOOKUP(E524,Dim_Colegiado[],2,FALSE)</f>
        <v>11</v>
      </c>
      <c r="B524" s="90" t="str">
        <f t="shared" si="8"/>
        <v>2019</v>
      </c>
      <c r="C524" s="75" t="s">
        <v>672</v>
      </c>
      <c r="D524" s="91" t="s">
        <v>408</v>
      </c>
      <c r="E524" s="91" t="s">
        <v>245</v>
      </c>
      <c r="F524" s="88">
        <v>299956.59999999998</v>
      </c>
      <c r="G524" s="82" t="s">
        <v>101</v>
      </c>
      <c r="H524" s="72" t="s">
        <v>123</v>
      </c>
      <c r="I524" s="91"/>
      <c r="J524" s="91" t="str">
        <f>LEFT(empreend_Fehidro[[#This Row],[suBpdc classifc]],1)</f>
        <v/>
      </c>
      <c r="K524" s="85" t="s">
        <v>641</v>
      </c>
      <c r="L524" s="293"/>
    </row>
    <row r="525" spans="1:12" s="141" customFormat="1" ht="10.5" customHeight="1">
      <c r="A525" s="93">
        <f>VLOOKUP(E525,Dim_Colegiado[],2,FALSE)</f>
        <v>11</v>
      </c>
      <c r="B525" s="94" t="str">
        <f t="shared" si="8"/>
        <v>2019</v>
      </c>
      <c r="C525" s="76" t="s">
        <v>673</v>
      </c>
      <c r="D525" s="95" t="s">
        <v>408</v>
      </c>
      <c r="E525" s="95" t="s">
        <v>245</v>
      </c>
      <c r="F525" s="92">
        <v>349587.91</v>
      </c>
      <c r="G525" s="82" t="s">
        <v>101</v>
      </c>
      <c r="H525" s="72" t="s">
        <v>123</v>
      </c>
      <c r="I525" s="95"/>
      <c r="J525" s="95" t="str">
        <f>LEFT(empreend_Fehidro[[#This Row],[suBpdc classifc]],1)</f>
        <v/>
      </c>
      <c r="K525" s="86" t="s">
        <v>641</v>
      </c>
      <c r="L525" s="293"/>
    </row>
    <row r="526" spans="1:12" s="70" customFormat="1" ht="14.4">
      <c r="A526" s="89">
        <f>VLOOKUP(E526,Dim_Colegiado[],2,FALSE)</f>
        <v>11</v>
      </c>
      <c r="B526" s="90" t="str">
        <f t="shared" si="8"/>
        <v>2019</v>
      </c>
      <c r="C526" s="75" t="s">
        <v>674</v>
      </c>
      <c r="D526" s="91" t="s">
        <v>408</v>
      </c>
      <c r="E526" s="91" t="s">
        <v>245</v>
      </c>
      <c r="F526" s="88">
        <v>396300</v>
      </c>
      <c r="G526" s="82" t="s">
        <v>101</v>
      </c>
      <c r="H526" s="72" t="s">
        <v>123</v>
      </c>
      <c r="I526" s="91"/>
      <c r="J526" s="91" t="str">
        <f>LEFT(empreend_Fehidro[[#This Row],[suBpdc classifc]],1)</f>
        <v/>
      </c>
      <c r="K526" s="85" t="s">
        <v>641</v>
      </c>
      <c r="L526" s="293"/>
    </row>
    <row r="527" spans="1:12" s="141" customFormat="1" ht="10.5" customHeight="1">
      <c r="A527" s="93">
        <f>VLOOKUP(E527,Dim_Colegiado[],2,FALSE)</f>
        <v>11</v>
      </c>
      <c r="B527" s="94" t="str">
        <f t="shared" si="8"/>
        <v>2019</v>
      </c>
      <c r="C527" s="76" t="s">
        <v>675</v>
      </c>
      <c r="D527" s="95" t="s">
        <v>408</v>
      </c>
      <c r="E527" s="95" t="s">
        <v>245</v>
      </c>
      <c r="F527" s="92">
        <v>427485.8</v>
      </c>
      <c r="G527" s="82" t="s">
        <v>101</v>
      </c>
      <c r="H527" s="72" t="s">
        <v>123</v>
      </c>
      <c r="I527" s="95"/>
      <c r="J527" s="95" t="str">
        <f>LEFT(empreend_Fehidro[[#This Row],[suBpdc classifc]],1)</f>
        <v/>
      </c>
      <c r="K527" s="86" t="s">
        <v>641</v>
      </c>
      <c r="L527" s="293"/>
    </row>
    <row r="528" spans="1:12" s="141" customFormat="1" ht="10.5" customHeight="1">
      <c r="A528" s="89">
        <f>VLOOKUP(E528,Dim_Colegiado[],2,FALSE)</f>
        <v>11</v>
      </c>
      <c r="B528" s="90" t="str">
        <f t="shared" si="8"/>
        <v>2019</v>
      </c>
      <c r="C528" s="75" t="s">
        <v>676</v>
      </c>
      <c r="D528" s="91" t="s">
        <v>408</v>
      </c>
      <c r="E528" s="91" t="s">
        <v>245</v>
      </c>
      <c r="F528" s="88">
        <v>493424.13</v>
      </c>
      <c r="G528" s="82" t="s">
        <v>101</v>
      </c>
      <c r="H528" s="72" t="s">
        <v>123</v>
      </c>
      <c r="I528" s="91"/>
      <c r="J528" s="91" t="str">
        <f>LEFT(empreend_Fehidro[[#This Row],[suBpdc classifc]],1)</f>
        <v/>
      </c>
      <c r="K528" s="85" t="s">
        <v>641</v>
      </c>
      <c r="L528" s="293"/>
    </row>
    <row r="529" spans="1:12" s="141" customFormat="1" ht="10.5" customHeight="1">
      <c r="A529" s="93">
        <f>VLOOKUP(E529,Dim_Colegiado[],2,FALSE)</f>
        <v>11</v>
      </c>
      <c r="B529" s="94" t="str">
        <f t="shared" si="8"/>
        <v>2019</v>
      </c>
      <c r="C529" s="76" t="s">
        <v>677</v>
      </c>
      <c r="D529" s="95" t="s">
        <v>408</v>
      </c>
      <c r="E529" s="95" t="s">
        <v>245</v>
      </c>
      <c r="F529" s="92">
        <v>497809.82</v>
      </c>
      <c r="G529" s="82" t="s">
        <v>101</v>
      </c>
      <c r="H529" s="72" t="s">
        <v>123</v>
      </c>
      <c r="I529" s="95"/>
      <c r="J529" s="95" t="str">
        <f>LEFT(empreend_Fehidro[[#This Row],[suBpdc classifc]],1)</f>
        <v/>
      </c>
      <c r="K529" s="86" t="s">
        <v>641</v>
      </c>
      <c r="L529" s="293"/>
    </row>
    <row r="530" spans="1:12" s="70" customFormat="1" ht="14.4">
      <c r="A530" s="89">
        <f>VLOOKUP(E530,Dim_Colegiado[],2,FALSE)</f>
        <v>11</v>
      </c>
      <c r="B530" s="90" t="str">
        <f t="shared" si="8"/>
        <v>2019</v>
      </c>
      <c r="C530" s="75" t="s">
        <v>678</v>
      </c>
      <c r="D530" s="91" t="s">
        <v>408</v>
      </c>
      <c r="E530" s="91" t="s">
        <v>245</v>
      </c>
      <c r="F530" s="88">
        <v>499799.93</v>
      </c>
      <c r="G530" s="82" t="s">
        <v>101</v>
      </c>
      <c r="H530" s="72" t="s">
        <v>123</v>
      </c>
      <c r="I530" s="91"/>
      <c r="J530" s="91" t="str">
        <f>LEFT(empreend_Fehidro[[#This Row],[suBpdc classifc]],1)</f>
        <v/>
      </c>
      <c r="K530" s="85" t="s">
        <v>641</v>
      </c>
      <c r="L530" s="293"/>
    </row>
    <row r="531" spans="1:12" s="70" customFormat="1" ht="14.4">
      <c r="A531" s="93">
        <f>VLOOKUP(E531,Dim_Colegiado[],2,FALSE)</f>
        <v>11</v>
      </c>
      <c r="B531" s="94" t="str">
        <f t="shared" si="8"/>
        <v>2019</v>
      </c>
      <c r="C531" s="76" t="s">
        <v>679</v>
      </c>
      <c r="D531" s="95" t="s">
        <v>408</v>
      </c>
      <c r="E531" s="95" t="s">
        <v>245</v>
      </c>
      <c r="F531" s="92">
        <v>500000</v>
      </c>
      <c r="G531" s="82" t="s">
        <v>101</v>
      </c>
      <c r="H531" s="72" t="s">
        <v>123</v>
      </c>
      <c r="I531" s="95"/>
      <c r="J531" s="95" t="str">
        <f>LEFT(empreend_Fehidro[[#This Row],[suBpdc classifc]],1)</f>
        <v/>
      </c>
      <c r="K531" s="86" t="s">
        <v>641</v>
      </c>
      <c r="L531" s="293"/>
    </row>
    <row r="532" spans="1:12" s="141" customFormat="1" ht="10.5" customHeight="1">
      <c r="A532" s="89">
        <f>VLOOKUP(E532,Dim_Colegiado[],2,FALSE)</f>
        <v>11</v>
      </c>
      <c r="B532" s="90" t="str">
        <f t="shared" si="8"/>
        <v>2019</v>
      </c>
      <c r="C532" s="75" t="s">
        <v>680</v>
      </c>
      <c r="D532" s="91" t="s">
        <v>408</v>
      </c>
      <c r="E532" s="91" t="s">
        <v>245</v>
      </c>
      <c r="F532" s="88">
        <v>500000</v>
      </c>
      <c r="G532" s="82" t="s">
        <v>101</v>
      </c>
      <c r="H532" s="72" t="s">
        <v>123</v>
      </c>
      <c r="I532" s="91"/>
      <c r="J532" s="91" t="str">
        <f>LEFT(empreend_Fehidro[[#This Row],[suBpdc classifc]],1)</f>
        <v/>
      </c>
      <c r="K532" s="85" t="s">
        <v>641</v>
      </c>
      <c r="L532" s="293"/>
    </row>
    <row r="533" spans="1:12" s="69" customFormat="1" ht="14.4">
      <c r="A533" s="89">
        <f>VLOOKUP(E533,Dim_Colegiado[],2,FALSE)</f>
        <v>12</v>
      </c>
      <c r="B533" s="90" t="str">
        <f t="shared" si="8"/>
        <v>2019</v>
      </c>
      <c r="C533" s="75" t="s">
        <v>681</v>
      </c>
      <c r="D533" s="91" t="s">
        <v>411</v>
      </c>
      <c r="E533" s="91" t="s">
        <v>267</v>
      </c>
      <c r="F533" s="88">
        <v>71910</v>
      </c>
      <c r="G533" s="82" t="s">
        <v>101</v>
      </c>
      <c r="H533" s="72" t="s">
        <v>123</v>
      </c>
      <c r="I533" s="91"/>
      <c r="J533" s="91" t="str">
        <f>LEFT(empreend_Fehidro[[#This Row],[suBpdc classifc]],1)</f>
        <v/>
      </c>
      <c r="K533" s="85" t="s">
        <v>641</v>
      </c>
      <c r="L533" s="293"/>
    </row>
    <row r="534" spans="1:12" s="69" customFormat="1" ht="14.4">
      <c r="A534" s="78">
        <f>VLOOKUP(E534,Dim_Colegiado[],2,FALSE)</f>
        <v>12</v>
      </c>
      <c r="B534" s="67" t="str">
        <f t="shared" si="8"/>
        <v>2019</v>
      </c>
      <c r="C534" s="74" t="s">
        <v>682</v>
      </c>
      <c r="D534" s="68" t="s">
        <v>683</v>
      </c>
      <c r="E534" s="68" t="s">
        <v>267</v>
      </c>
      <c r="F534" s="92">
        <v>299654.46999999997</v>
      </c>
      <c r="G534" s="82" t="s">
        <v>101</v>
      </c>
      <c r="H534" s="72" t="s">
        <v>123</v>
      </c>
      <c r="I534" s="68"/>
      <c r="J534" s="68" t="str">
        <f>LEFT(empreend_Fehidro[[#This Row],[suBpdc classifc]],1)</f>
        <v/>
      </c>
      <c r="K534" s="86" t="s">
        <v>641</v>
      </c>
      <c r="L534" s="293"/>
    </row>
    <row r="535" spans="1:12" s="69" customFormat="1" ht="14.4">
      <c r="A535" s="89">
        <f>VLOOKUP(E535,Dim_Colegiado[],2,FALSE)</f>
        <v>12</v>
      </c>
      <c r="B535" s="90" t="str">
        <f t="shared" si="8"/>
        <v>2019</v>
      </c>
      <c r="C535" s="75" t="s">
        <v>684</v>
      </c>
      <c r="D535" s="91" t="s">
        <v>683</v>
      </c>
      <c r="E535" s="91" t="s">
        <v>267</v>
      </c>
      <c r="F535" s="88">
        <v>626570.84</v>
      </c>
      <c r="G535" s="82" t="s">
        <v>101</v>
      </c>
      <c r="H535" s="72" t="s">
        <v>123</v>
      </c>
      <c r="I535" s="91"/>
      <c r="J535" s="91" t="str">
        <f>LEFT(empreend_Fehidro[[#This Row],[suBpdc classifc]],1)</f>
        <v/>
      </c>
      <c r="K535" s="85" t="s">
        <v>641</v>
      </c>
      <c r="L535" s="293"/>
    </row>
    <row r="536" spans="1:12" s="69" customFormat="1" ht="14.4">
      <c r="A536" s="78">
        <f>VLOOKUP(E536,Dim_Colegiado[],2,FALSE)</f>
        <v>12</v>
      </c>
      <c r="B536" s="67" t="str">
        <f t="shared" si="8"/>
        <v>2019</v>
      </c>
      <c r="C536" s="74" t="s">
        <v>685</v>
      </c>
      <c r="D536" s="68" t="s">
        <v>397</v>
      </c>
      <c r="E536" s="68" t="s">
        <v>267</v>
      </c>
      <c r="F536" s="92">
        <v>399341.98</v>
      </c>
      <c r="G536" s="82" t="s">
        <v>101</v>
      </c>
      <c r="H536" s="72" t="s">
        <v>123</v>
      </c>
      <c r="I536" s="68"/>
      <c r="J536" s="68" t="str">
        <f>LEFT(empreend_Fehidro[[#This Row],[suBpdc classifc]],1)</f>
        <v/>
      </c>
      <c r="K536" s="86" t="s">
        <v>641</v>
      </c>
      <c r="L536" s="293"/>
    </row>
    <row r="537" spans="1:12" s="69" customFormat="1" ht="14.4">
      <c r="A537" s="89">
        <f>VLOOKUP(E537,Dim_Colegiado[],2,FALSE)</f>
        <v>12</v>
      </c>
      <c r="B537" s="90" t="str">
        <f t="shared" si="8"/>
        <v>2019</v>
      </c>
      <c r="C537" s="75" t="s">
        <v>686</v>
      </c>
      <c r="D537" s="91" t="s">
        <v>397</v>
      </c>
      <c r="E537" s="91" t="s">
        <v>267</v>
      </c>
      <c r="F537" s="88">
        <v>513356</v>
      </c>
      <c r="G537" s="82" t="s">
        <v>101</v>
      </c>
      <c r="H537" s="72" t="s">
        <v>123</v>
      </c>
      <c r="I537" s="91"/>
      <c r="J537" s="91" t="str">
        <f>LEFT(empreend_Fehidro[[#This Row],[suBpdc classifc]],1)</f>
        <v/>
      </c>
      <c r="K537" s="85" t="s">
        <v>641</v>
      </c>
      <c r="L537" s="293"/>
    </row>
    <row r="538" spans="1:12" s="69" customFormat="1" ht="14.4">
      <c r="A538" s="78">
        <f>VLOOKUP(E538,Dim_Colegiado[],2,FALSE)</f>
        <v>12</v>
      </c>
      <c r="B538" s="67" t="str">
        <f t="shared" si="8"/>
        <v>2019</v>
      </c>
      <c r="C538" s="74" t="s">
        <v>687</v>
      </c>
      <c r="D538" s="68" t="s">
        <v>397</v>
      </c>
      <c r="E538" s="68" t="s">
        <v>267</v>
      </c>
      <c r="F538" s="92">
        <v>687913.8</v>
      </c>
      <c r="G538" s="82" t="s">
        <v>101</v>
      </c>
      <c r="H538" s="72" t="s">
        <v>123</v>
      </c>
      <c r="I538" s="68"/>
      <c r="J538" s="68" t="str">
        <f>LEFT(empreend_Fehidro[[#This Row],[suBpdc classifc]],1)</f>
        <v/>
      </c>
      <c r="K538" s="86" t="s">
        <v>641</v>
      </c>
      <c r="L538" s="293"/>
    </row>
    <row r="539" spans="1:12" s="69" customFormat="1" ht="14.4">
      <c r="A539" s="89">
        <f>VLOOKUP(E539,Dim_Colegiado[],2,FALSE)</f>
        <v>12</v>
      </c>
      <c r="B539" s="90" t="str">
        <f t="shared" si="8"/>
        <v>2019</v>
      </c>
      <c r="C539" s="75" t="s">
        <v>688</v>
      </c>
      <c r="D539" s="91" t="s">
        <v>397</v>
      </c>
      <c r="E539" s="91" t="s">
        <v>267</v>
      </c>
      <c r="F539" s="88">
        <v>799004.37</v>
      </c>
      <c r="G539" s="82" t="s">
        <v>101</v>
      </c>
      <c r="H539" s="72" t="s">
        <v>123</v>
      </c>
      <c r="I539" s="91"/>
      <c r="J539" s="91" t="str">
        <f>LEFT(empreend_Fehidro[[#This Row],[suBpdc classifc]],1)</f>
        <v/>
      </c>
      <c r="K539" s="85" t="s">
        <v>641</v>
      </c>
      <c r="L539" s="293"/>
    </row>
    <row r="540" spans="1:12" s="69" customFormat="1" ht="14.4">
      <c r="A540" s="78">
        <f>VLOOKUP(E540,Dim_Colegiado[],2,FALSE)</f>
        <v>12</v>
      </c>
      <c r="B540" s="67" t="str">
        <f t="shared" si="8"/>
        <v>2019</v>
      </c>
      <c r="C540" s="74" t="s">
        <v>689</v>
      </c>
      <c r="D540" s="68" t="s">
        <v>397</v>
      </c>
      <c r="E540" s="68" t="s">
        <v>267</v>
      </c>
      <c r="F540" s="92">
        <v>276351.23</v>
      </c>
      <c r="G540" s="82" t="s">
        <v>101</v>
      </c>
      <c r="H540" s="72" t="s">
        <v>123</v>
      </c>
      <c r="I540" s="68"/>
      <c r="J540" s="68" t="str">
        <f>LEFT(empreend_Fehidro[[#This Row],[suBpdc classifc]],1)</f>
        <v/>
      </c>
      <c r="K540" s="86" t="s">
        <v>641</v>
      </c>
      <c r="L540" s="293"/>
    </row>
    <row r="541" spans="1:12" s="69" customFormat="1" ht="14.4">
      <c r="A541" s="89">
        <f>VLOOKUP(E541,Dim_Colegiado[],2,FALSE)</f>
        <v>12</v>
      </c>
      <c r="B541" s="90" t="str">
        <f t="shared" si="8"/>
        <v>2019</v>
      </c>
      <c r="C541" s="75" t="s">
        <v>690</v>
      </c>
      <c r="D541" s="91" t="s">
        <v>397</v>
      </c>
      <c r="E541" s="91" t="s">
        <v>267</v>
      </c>
      <c r="F541" s="88">
        <v>399990.35</v>
      </c>
      <c r="G541" s="82" t="s">
        <v>101</v>
      </c>
      <c r="H541" s="72" t="s">
        <v>123</v>
      </c>
      <c r="I541" s="91"/>
      <c r="J541" s="91" t="str">
        <f>LEFT(empreend_Fehidro[[#This Row],[suBpdc classifc]],1)</f>
        <v/>
      </c>
      <c r="K541" s="85" t="s">
        <v>641</v>
      </c>
      <c r="L541" s="293"/>
    </row>
    <row r="542" spans="1:12" s="69" customFormat="1" ht="14.4">
      <c r="A542" s="78">
        <f>VLOOKUP(E542,Dim_Colegiado[],2,FALSE)</f>
        <v>12</v>
      </c>
      <c r="B542" s="67" t="str">
        <f t="shared" si="8"/>
        <v>2019</v>
      </c>
      <c r="C542" s="74" t="s">
        <v>691</v>
      </c>
      <c r="D542" s="68" t="s">
        <v>397</v>
      </c>
      <c r="E542" s="68" t="s">
        <v>267</v>
      </c>
      <c r="F542" s="92">
        <v>750000</v>
      </c>
      <c r="G542" s="82" t="s">
        <v>101</v>
      </c>
      <c r="H542" s="72" t="s">
        <v>123</v>
      </c>
      <c r="I542" s="68"/>
      <c r="J542" s="68" t="str">
        <f>LEFT(empreend_Fehidro[[#This Row],[suBpdc classifc]],1)</f>
        <v/>
      </c>
      <c r="K542" s="86" t="s">
        <v>641</v>
      </c>
      <c r="L542" s="293"/>
    </row>
    <row r="543" spans="1:12" s="69" customFormat="1" ht="14.4">
      <c r="A543" s="89">
        <f>VLOOKUP(E543,Dim_Colegiado[],2,FALSE)</f>
        <v>12</v>
      </c>
      <c r="B543" s="90" t="str">
        <f t="shared" si="8"/>
        <v>2019</v>
      </c>
      <c r="C543" s="75" t="s">
        <v>692</v>
      </c>
      <c r="D543" s="91" t="s">
        <v>408</v>
      </c>
      <c r="E543" s="91" t="s">
        <v>267</v>
      </c>
      <c r="F543" s="88">
        <v>446845.69</v>
      </c>
      <c r="G543" s="82" t="s">
        <v>101</v>
      </c>
      <c r="H543" s="72" t="s">
        <v>123</v>
      </c>
      <c r="I543" s="91"/>
      <c r="J543" s="91" t="str">
        <f>LEFT(empreend_Fehidro[[#This Row],[suBpdc classifc]],1)</f>
        <v/>
      </c>
      <c r="K543" s="85" t="s">
        <v>641</v>
      </c>
      <c r="L543" s="293"/>
    </row>
    <row r="544" spans="1:12" s="69" customFormat="1" ht="14.4">
      <c r="A544" s="78">
        <f>VLOOKUP(E544,Dim_Colegiado[],2,FALSE)</f>
        <v>12</v>
      </c>
      <c r="B544" s="67" t="str">
        <f t="shared" si="8"/>
        <v>2019</v>
      </c>
      <c r="C544" s="74" t="s">
        <v>693</v>
      </c>
      <c r="D544" s="68" t="s">
        <v>408</v>
      </c>
      <c r="E544" s="68" t="s">
        <v>267</v>
      </c>
      <c r="F544" s="92">
        <v>572283.73</v>
      </c>
      <c r="G544" s="82" t="s">
        <v>101</v>
      </c>
      <c r="H544" s="72" t="s">
        <v>123</v>
      </c>
      <c r="I544" s="68"/>
      <c r="J544" s="68" t="str">
        <f>LEFT(empreend_Fehidro[[#This Row],[suBpdc classifc]],1)</f>
        <v/>
      </c>
      <c r="K544" s="86" t="s">
        <v>641</v>
      </c>
      <c r="L544" s="293"/>
    </row>
    <row r="545" spans="1:12" s="69" customFormat="1" ht="14.4">
      <c r="A545" s="93">
        <f>VLOOKUP(E545,Dim_Colegiado[],2,FALSE)</f>
        <v>13</v>
      </c>
      <c r="B545" s="94" t="str">
        <f t="shared" si="8"/>
        <v>2019</v>
      </c>
      <c r="C545" s="76" t="s">
        <v>694</v>
      </c>
      <c r="D545" s="95" t="s">
        <v>411</v>
      </c>
      <c r="E545" s="95" t="s">
        <v>273</v>
      </c>
      <c r="F545" s="92">
        <v>150291.5</v>
      </c>
      <c r="G545" s="82" t="s">
        <v>101</v>
      </c>
      <c r="H545" s="72" t="s">
        <v>123</v>
      </c>
      <c r="I545" s="95"/>
      <c r="J545" s="95" t="str">
        <f>LEFT(empreend_Fehidro[[#This Row],[suBpdc classifc]],1)</f>
        <v/>
      </c>
      <c r="K545" s="86" t="s">
        <v>695</v>
      </c>
      <c r="L545" s="293"/>
    </row>
    <row r="546" spans="1:12" s="69" customFormat="1" ht="14.4">
      <c r="A546" s="89">
        <f>VLOOKUP(E546,Dim_Colegiado[],2,FALSE)</f>
        <v>13</v>
      </c>
      <c r="B546" s="90" t="str">
        <f t="shared" si="8"/>
        <v>2019</v>
      </c>
      <c r="C546" s="75" t="s">
        <v>696</v>
      </c>
      <c r="D546" s="91" t="s">
        <v>411</v>
      </c>
      <c r="E546" s="91" t="s">
        <v>273</v>
      </c>
      <c r="F546" s="88">
        <v>481678.6</v>
      </c>
      <c r="G546" s="82" t="s">
        <v>101</v>
      </c>
      <c r="H546" s="72" t="s">
        <v>123</v>
      </c>
      <c r="I546" s="91"/>
      <c r="J546" s="91" t="str">
        <f>LEFT(empreend_Fehidro[[#This Row],[suBpdc classifc]],1)</f>
        <v/>
      </c>
      <c r="K546" s="85" t="s">
        <v>695</v>
      </c>
      <c r="L546" s="293"/>
    </row>
    <row r="547" spans="1:12" s="69" customFormat="1" ht="14.4">
      <c r="A547" s="93">
        <f>VLOOKUP(E547,Dim_Colegiado[],2,FALSE)</f>
        <v>13</v>
      </c>
      <c r="B547" s="94" t="str">
        <f t="shared" si="8"/>
        <v>2019</v>
      </c>
      <c r="C547" s="76" t="s">
        <v>697</v>
      </c>
      <c r="D547" s="95" t="s">
        <v>411</v>
      </c>
      <c r="E547" s="95" t="s">
        <v>273</v>
      </c>
      <c r="F547" s="92">
        <v>992415.94</v>
      </c>
      <c r="G547" s="82" t="s">
        <v>101</v>
      </c>
      <c r="H547" s="72" t="s">
        <v>123</v>
      </c>
      <c r="I547" s="95"/>
      <c r="J547" s="95" t="str">
        <f>LEFT(empreend_Fehidro[[#This Row],[suBpdc classifc]],1)</f>
        <v/>
      </c>
      <c r="K547" s="86" t="s">
        <v>695</v>
      </c>
      <c r="L547" s="293"/>
    </row>
    <row r="548" spans="1:12" s="69" customFormat="1" ht="14.4">
      <c r="A548" s="89">
        <f>VLOOKUP(E548,Dim_Colegiado[],2,FALSE)</f>
        <v>13</v>
      </c>
      <c r="B548" s="90" t="str">
        <f t="shared" si="8"/>
        <v>2019</v>
      </c>
      <c r="C548" s="75" t="s">
        <v>698</v>
      </c>
      <c r="D548" s="91" t="s">
        <v>397</v>
      </c>
      <c r="E548" s="91" t="s">
        <v>273</v>
      </c>
      <c r="F548" s="88">
        <v>222337.5</v>
      </c>
      <c r="G548" s="82" t="s">
        <v>101</v>
      </c>
      <c r="H548" s="72" t="s">
        <v>123</v>
      </c>
      <c r="I548" s="91"/>
      <c r="J548" s="91" t="str">
        <f>LEFT(empreend_Fehidro[[#This Row],[suBpdc classifc]],1)</f>
        <v/>
      </c>
      <c r="K548" s="85" t="s">
        <v>695</v>
      </c>
      <c r="L548" s="293"/>
    </row>
    <row r="549" spans="1:12" s="69" customFormat="1" ht="14.4">
      <c r="A549" s="93">
        <f>VLOOKUP(E549,Dim_Colegiado[],2,FALSE)</f>
        <v>13</v>
      </c>
      <c r="B549" s="94" t="str">
        <f t="shared" si="8"/>
        <v>2019</v>
      </c>
      <c r="C549" s="76" t="s">
        <v>699</v>
      </c>
      <c r="D549" s="95" t="s">
        <v>397</v>
      </c>
      <c r="E549" s="95" t="s">
        <v>273</v>
      </c>
      <c r="F549" s="92">
        <v>816060</v>
      </c>
      <c r="G549" s="82" t="s">
        <v>101</v>
      </c>
      <c r="H549" s="72" t="s">
        <v>123</v>
      </c>
      <c r="I549" s="95"/>
      <c r="J549" s="95" t="str">
        <f>LEFT(empreend_Fehidro[[#This Row],[suBpdc classifc]],1)</f>
        <v/>
      </c>
      <c r="K549" s="86" t="s">
        <v>695</v>
      </c>
      <c r="L549" s="293"/>
    </row>
    <row r="550" spans="1:12" s="69" customFormat="1" ht="14.4">
      <c r="A550" s="89">
        <f>VLOOKUP(E550,Dim_Colegiado[],2,FALSE)</f>
        <v>13</v>
      </c>
      <c r="B550" s="90" t="str">
        <f t="shared" si="8"/>
        <v>2019</v>
      </c>
      <c r="C550" s="75" t="s">
        <v>700</v>
      </c>
      <c r="D550" s="91" t="s">
        <v>397</v>
      </c>
      <c r="E550" s="91" t="s">
        <v>273</v>
      </c>
      <c r="F550" s="88">
        <v>122542.24</v>
      </c>
      <c r="G550" s="82" t="s">
        <v>101</v>
      </c>
      <c r="H550" s="72" t="s">
        <v>123</v>
      </c>
      <c r="I550" s="91"/>
      <c r="J550" s="91" t="str">
        <f>LEFT(empreend_Fehidro[[#This Row],[suBpdc classifc]],1)</f>
        <v/>
      </c>
      <c r="K550" s="85" t="s">
        <v>695</v>
      </c>
      <c r="L550" s="293"/>
    </row>
    <row r="551" spans="1:12" s="69" customFormat="1" ht="14.4">
      <c r="A551" s="93">
        <f>VLOOKUP(E551,Dim_Colegiado[],2,FALSE)</f>
        <v>13</v>
      </c>
      <c r="B551" s="94" t="str">
        <f t="shared" si="8"/>
        <v>2019</v>
      </c>
      <c r="C551" s="76" t="s">
        <v>701</v>
      </c>
      <c r="D551" s="95" t="s">
        <v>397</v>
      </c>
      <c r="E551" s="95" t="s">
        <v>273</v>
      </c>
      <c r="F551" s="92">
        <v>412648.74</v>
      </c>
      <c r="G551" s="82" t="s">
        <v>101</v>
      </c>
      <c r="H551" s="72" t="s">
        <v>123</v>
      </c>
      <c r="I551" s="95"/>
      <c r="J551" s="95" t="str">
        <f>LEFT(empreend_Fehidro[[#This Row],[suBpdc classifc]],1)</f>
        <v/>
      </c>
      <c r="K551" s="86" t="s">
        <v>695</v>
      </c>
      <c r="L551" s="293"/>
    </row>
    <row r="552" spans="1:12" s="69" customFormat="1" ht="14.4">
      <c r="A552" s="89">
        <f>VLOOKUP(E552,Dim_Colegiado[],2,FALSE)</f>
        <v>13</v>
      </c>
      <c r="B552" s="90" t="str">
        <f t="shared" si="8"/>
        <v>2019</v>
      </c>
      <c r="C552" s="75" t="s">
        <v>702</v>
      </c>
      <c r="D552" s="91" t="s">
        <v>397</v>
      </c>
      <c r="E552" s="91" t="s">
        <v>273</v>
      </c>
      <c r="F552" s="88">
        <v>803870</v>
      </c>
      <c r="G552" s="82" t="s">
        <v>101</v>
      </c>
      <c r="H552" s="72" t="s">
        <v>123</v>
      </c>
      <c r="I552" s="91"/>
      <c r="J552" s="91" t="str">
        <f>LEFT(empreend_Fehidro[[#This Row],[suBpdc classifc]],1)</f>
        <v/>
      </c>
      <c r="K552" s="85" t="s">
        <v>695</v>
      </c>
      <c r="L552" s="293"/>
    </row>
    <row r="553" spans="1:12" s="141" customFormat="1" ht="10.5" customHeight="1">
      <c r="A553" s="93">
        <f>VLOOKUP(E553,Dim_Colegiado[],2,FALSE)</f>
        <v>13</v>
      </c>
      <c r="B553" s="94" t="str">
        <f t="shared" si="8"/>
        <v>2019</v>
      </c>
      <c r="C553" s="76" t="s">
        <v>703</v>
      </c>
      <c r="D553" s="95" t="s">
        <v>397</v>
      </c>
      <c r="E553" s="95" t="s">
        <v>273</v>
      </c>
      <c r="F553" s="92">
        <v>887311.23</v>
      </c>
      <c r="G553" s="82" t="s">
        <v>101</v>
      </c>
      <c r="H553" s="72" t="s">
        <v>123</v>
      </c>
      <c r="I553" s="95"/>
      <c r="J553" s="95" t="str">
        <f>LEFT(empreend_Fehidro[[#This Row],[suBpdc classifc]],1)</f>
        <v/>
      </c>
      <c r="K553" s="86" t="s">
        <v>695</v>
      </c>
      <c r="L553" s="293"/>
    </row>
    <row r="554" spans="1:12" s="141" customFormat="1" ht="10.5" customHeight="1">
      <c r="A554" s="89">
        <f>VLOOKUP(E554,Dim_Colegiado[],2,FALSE)</f>
        <v>13</v>
      </c>
      <c r="B554" s="90" t="str">
        <f t="shared" si="8"/>
        <v>2019</v>
      </c>
      <c r="C554" s="75" t="s">
        <v>704</v>
      </c>
      <c r="D554" s="91" t="s">
        <v>408</v>
      </c>
      <c r="E554" s="91" t="s">
        <v>273</v>
      </c>
      <c r="F554" s="88">
        <v>215065.45</v>
      </c>
      <c r="G554" s="82" t="s">
        <v>101</v>
      </c>
      <c r="H554" s="72" t="s">
        <v>123</v>
      </c>
      <c r="I554" s="91"/>
      <c r="J554" s="91" t="str">
        <f>LEFT(empreend_Fehidro[[#This Row],[suBpdc classifc]],1)</f>
        <v/>
      </c>
      <c r="K554" s="85" t="s">
        <v>695</v>
      </c>
      <c r="L554" s="293"/>
    </row>
    <row r="555" spans="1:12" s="141" customFormat="1" ht="10.5" customHeight="1">
      <c r="A555" s="93">
        <f>VLOOKUP(E555,Dim_Colegiado[],2,FALSE)</f>
        <v>13</v>
      </c>
      <c r="B555" s="94" t="str">
        <f t="shared" si="8"/>
        <v>2019</v>
      </c>
      <c r="C555" s="76" t="s">
        <v>705</v>
      </c>
      <c r="D555" s="95" t="s">
        <v>408</v>
      </c>
      <c r="E555" s="95" t="s">
        <v>273</v>
      </c>
      <c r="F555" s="92">
        <v>176732.46</v>
      </c>
      <c r="G555" s="82" t="s">
        <v>101</v>
      </c>
      <c r="H555" s="72" t="s">
        <v>123</v>
      </c>
      <c r="I555" s="95"/>
      <c r="J555" s="95" t="str">
        <f>LEFT(empreend_Fehidro[[#This Row],[suBpdc classifc]],1)</f>
        <v/>
      </c>
      <c r="K555" s="86" t="s">
        <v>695</v>
      </c>
      <c r="L555" s="293"/>
    </row>
    <row r="556" spans="1:12" s="141" customFormat="1" ht="10.5" customHeight="1">
      <c r="A556" s="89">
        <f>VLOOKUP(E556,Dim_Colegiado[],2,FALSE)</f>
        <v>13</v>
      </c>
      <c r="B556" s="90" t="str">
        <f t="shared" si="8"/>
        <v>2019</v>
      </c>
      <c r="C556" s="75" t="s">
        <v>706</v>
      </c>
      <c r="D556" s="91" t="s">
        <v>408</v>
      </c>
      <c r="E556" s="91" t="s">
        <v>273</v>
      </c>
      <c r="F556" s="88">
        <v>177111.16</v>
      </c>
      <c r="G556" s="82" t="s">
        <v>101</v>
      </c>
      <c r="H556" s="72" t="s">
        <v>123</v>
      </c>
      <c r="I556" s="91"/>
      <c r="J556" s="91" t="str">
        <f>LEFT(empreend_Fehidro[[#This Row],[suBpdc classifc]],1)</f>
        <v/>
      </c>
      <c r="K556" s="85" t="s">
        <v>695</v>
      </c>
      <c r="L556" s="293"/>
    </row>
    <row r="557" spans="1:12" s="141" customFormat="1" ht="10.5" customHeight="1">
      <c r="A557" s="93">
        <f>VLOOKUP(E557,Dim_Colegiado[],2,FALSE)</f>
        <v>13</v>
      </c>
      <c r="B557" s="94" t="str">
        <f t="shared" si="8"/>
        <v>2019</v>
      </c>
      <c r="C557" s="76" t="s">
        <v>707</v>
      </c>
      <c r="D557" s="95" t="s">
        <v>408</v>
      </c>
      <c r="E557" s="95" t="s">
        <v>273</v>
      </c>
      <c r="F557" s="92">
        <v>266910</v>
      </c>
      <c r="G557" s="82" t="s">
        <v>101</v>
      </c>
      <c r="H557" s="72" t="s">
        <v>123</v>
      </c>
      <c r="I557" s="95"/>
      <c r="J557" s="95" t="str">
        <f>LEFT(empreend_Fehidro[[#This Row],[suBpdc classifc]],1)</f>
        <v/>
      </c>
      <c r="K557" s="86" t="s">
        <v>695</v>
      </c>
      <c r="L557" s="293"/>
    </row>
    <row r="558" spans="1:12" s="141" customFormat="1" ht="10.5" customHeight="1">
      <c r="A558" s="89">
        <f>VLOOKUP(E558,Dim_Colegiado[],2,FALSE)</f>
        <v>13</v>
      </c>
      <c r="B558" s="90" t="str">
        <f t="shared" si="8"/>
        <v>2019</v>
      </c>
      <c r="C558" s="75" t="s">
        <v>708</v>
      </c>
      <c r="D558" s="91" t="s">
        <v>408</v>
      </c>
      <c r="E558" s="91" t="s">
        <v>273</v>
      </c>
      <c r="F558" s="88">
        <v>533951.31000000006</v>
      </c>
      <c r="G558" s="82" t="s">
        <v>101</v>
      </c>
      <c r="H558" s="72" t="s">
        <v>123</v>
      </c>
      <c r="I558" s="91"/>
      <c r="J558" s="91" t="str">
        <f>LEFT(empreend_Fehidro[[#This Row],[suBpdc classifc]],1)</f>
        <v/>
      </c>
      <c r="K558" s="85" t="s">
        <v>695</v>
      </c>
      <c r="L558" s="293"/>
    </row>
    <row r="559" spans="1:12" s="141" customFormat="1" ht="10.5" customHeight="1">
      <c r="A559" s="93">
        <f>VLOOKUP(E559,Dim_Colegiado[],2,FALSE)</f>
        <v>13</v>
      </c>
      <c r="B559" s="94" t="str">
        <f t="shared" si="8"/>
        <v>2019</v>
      </c>
      <c r="C559" s="76" t="s">
        <v>709</v>
      </c>
      <c r="D559" s="95" t="s">
        <v>408</v>
      </c>
      <c r="E559" s="95" t="s">
        <v>273</v>
      </c>
      <c r="F559" s="92">
        <v>125861.87</v>
      </c>
      <c r="G559" s="82" t="s">
        <v>101</v>
      </c>
      <c r="H559" s="72" t="s">
        <v>123</v>
      </c>
      <c r="I559" s="95"/>
      <c r="J559" s="95" t="str">
        <f>LEFT(empreend_Fehidro[[#This Row],[suBpdc classifc]],1)</f>
        <v/>
      </c>
      <c r="K559" s="86" t="s">
        <v>695</v>
      </c>
      <c r="L559" s="293"/>
    </row>
    <row r="560" spans="1:12" s="141" customFormat="1" ht="10.5" customHeight="1">
      <c r="A560" s="89">
        <f>VLOOKUP(E560,Dim_Colegiado[],2,FALSE)</f>
        <v>13</v>
      </c>
      <c r="B560" s="90" t="str">
        <f t="shared" si="8"/>
        <v>2019</v>
      </c>
      <c r="C560" s="75" t="s">
        <v>710</v>
      </c>
      <c r="D560" s="91" t="s">
        <v>408</v>
      </c>
      <c r="E560" s="91" t="s">
        <v>273</v>
      </c>
      <c r="F560" s="88">
        <v>157276.68</v>
      </c>
      <c r="G560" s="82" t="s">
        <v>101</v>
      </c>
      <c r="H560" s="72" t="s">
        <v>123</v>
      </c>
      <c r="I560" s="91"/>
      <c r="J560" s="91" t="str">
        <f>LEFT(empreend_Fehidro[[#This Row],[suBpdc classifc]],1)</f>
        <v/>
      </c>
      <c r="K560" s="85" t="s">
        <v>695</v>
      </c>
      <c r="L560" s="293"/>
    </row>
    <row r="561" spans="1:12" s="69" customFormat="1" ht="14.4">
      <c r="A561" s="93">
        <f>VLOOKUP(E561,Dim_Colegiado[],2,FALSE)</f>
        <v>13</v>
      </c>
      <c r="B561" s="94" t="str">
        <f t="shared" si="8"/>
        <v>2019</v>
      </c>
      <c r="C561" s="76" t="s">
        <v>711</v>
      </c>
      <c r="D561" s="95" t="s">
        <v>408</v>
      </c>
      <c r="E561" s="95" t="s">
        <v>273</v>
      </c>
      <c r="F561" s="92">
        <v>684187.8</v>
      </c>
      <c r="G561" s="82" t="s">
        <v>101</v>
      </c>
      <c r="H561" s="72" t="s">
        <v>123</v>
      </c>
      <c r="I561" s="95"/>
      <c r="J561" s="95" t="str">
        <f>LEFT(empreend_Fehidro[[#This Row],[suBpdc classifc]],1)</f>
        <v/>
      </c>
      <c r="K561" s="86" t="s">
        <v>695</v>
      </c>
      <c r="L561" s="293"/>
    </row>
    <row r="562" spans="1:12" s="69" customFormat="1" ht="14.4">
      <c r="A562" s="89">
        <f>VLOOKUP(E562,Dim_Colegiado[],2,FALSE)</f>
        <v>13</v>
      </c>
      <c r="B562" s="90" t="str">
        <f t="shared" si="8"/>
        <v>2019</v>
      </c>
      <c r="C562" s="75" t="s">
        <v>712</v>
      </c>
      <c r="D562" s="91" t="s">
        <v>408</v>
      </c>
      <c r="E562" s="91" t="s">
        <v>273</v>
      </c>
      <c r="F562" s="88">
        <v>987324.13</v>
      </c>
      <c r="G562" s="82" t="s">
        <v>101</v>
      </c>
      <c r="H562" s="72" t="s">
        <v>123</v>
      </c>
      <c r="J562" s="69" t="str">
        <f>LEFT(empreend_Fehidro[[#This Row],[suBpdc classifc]],1)</f>
        <v/>
      </c>
      <c r="K562" s="85" t="s">
        <v>695</v>
      </c>
      <c r="L562" s="293"/>
    </row>
    <row r="563" spans="1:12" s="69" customFormat="1" ht="14.4">
      <c r="A563" s="93">
        <f>VLOOKUP(E563,Dim_Colegiado[],2,FALSE)</f>
        <v>14</v>
      </c>
      <c r="B563" s="94" t="str">
        <f t="shared" si="8"/>
        <v>2019</v>
      </c>
      <c r="C563" s="76" t="s">
        <v>713</v>
      </c>
      <c r="D563" s="95" t="s">
        <v>411</v>
      </c>
      <c r="E563" s="95" t="s">
        <v>290</v>
      </c>
      <c r="F563" s="92">
        <v>43440</v>
      </c>
      <c r="G563" s="82" t="s">
        <v>101</v>
      </c>
      <c r="H563" s="72" t="s">
        <v>123</v>
      </c>
      <c r="I563" s="95"/>
      <c r="J563" s="95" t="str">
        <f>LEFT(empreend_Fehidro[[#This Row],[suBpdc classifc]],1)</f>
        <v/>
      </c>
      <c r="K563" s="86"/>
      <c r="L563" s="293"/>
    </row>
    <row r="564" spans="1:12" s="69" customFormat="1" ht="14.4">
      <c r="A564" s="89">
        <f>VLOOKUP(E564,Dim_Colegiado[],2,FALSE)</f>
        <v>14</v>
      </c>
      <c r="B564" s="90" t="str">
        <f t="shared" si="8"/>
        <v>2019</v>
      </c>
      <c r="C564" s="75" t="s">
        <v>714</v>
      </c>
      <c r="D564" s="91" t="s">
        <v>397</v>
      </c>
      <c r="E564" s="91" t="s">
        <v>290</v>
      </c>
      <c r="F564" s="88">
        <v>86941.54</v>
      </c>
      <c r="G564" s="82" t="s">
        <v>101</v>
      </c>
      <c r="H564" s="72" t="s">
        <v>123</v>
      </c>
      <c r="I564" s="91"/>
      <c r="J564" s="91" t="str">
        <f>LEFT(empreend_Fehidro[[#This Row],[suBpdc classifc]],1)</f>
        <v/>
      </c>
      <c r="K564" s="86"/>
      <c r="L564" s="293"/>
    </row>
    <row r="565" spans="1:12" s="69" customFormat="1" ht="14.4">
      <c r="A565" s="93">
        <f>VLOOKUP(E565,Dim_Colegiado[],2,FALSE)</f>
        <v>14</v>
      </c>
      <c r="B565" s="94" t="str">
        <f t="shared" si="8"/>
        <v>2019</v>
      </c>
      <c r="C565" s="76" t="s">
        <v>715</v>
      </c>
      <c r="D565" s="95" t="s">
        <v>397</v>
      </c>
      <c r="E565" s="95" t="s">
        <v>290</v>
      </c>
      <c r="F565" s="92">
        <v>89073.26</v>
      </c>
      <c r="G565" s="82" t="s">
        <v>101</v>
      </c>
      <c r="H565" s="72" t="s">
        <v>123</v>
      </c>
      <c r="I565" s="95"/>
      <c r="J565" s="95" t="str">
        <f>LEFT(empreend_Fehidro[[#This Row],[suBpdc classifc]],1)</f>
        <v/>
      </c>
      <c r="K565" s="86"/>
      <c r="L565" s="293"/>
    </row>
    <row r="566" spans="1:12" s="69" customFormat="1" ht="14.4">
      <c r="A566" s="89">
        <f>VLOOKUP(E566,Dim_Colegiado[],2,FALSE)</f>
        <v>14</v>
      </c>
      <c r="B566" s="90" t="str">
        <f t="shared" si="8"/>
        <v>2019</v>
      </c>
      <c r="C566" s="75" t="s">
        <v>716</v>
      </c>
      <c r="D566" s="91" t="s">
        <v>397</v>
      </c>
      <c r="E566" s="91" t="s">
        <v>290</v>
      </c>
      <c r="F566" s="88">
        <v>111511.43</v>
      </c>
      <c r="G566" s="82" t="s">
        <v>101</v>
      </c>
      <c r="H566" s="72" t="s">
        <v>123</v>
      </c>
      <c r="I566" s="91"/>
      <c r="J566" s="91" t="str">
        <f>LEFT(empreend_Fehidro[[#This Row],[suBpdc classifc]],1)</f>
        <v/>
      </c>
      <c r="K566" s="86"/>
      <c r="L566" s="293"/>
    </row>
    <row r="567" spans="1:12" s="69" customFormat="1" ht="14.4">
      <c r="A567" s="93">
        <f>VLOOKUP(E567,Dim_Colegiado[],2,FALSE)</f>
        <v>14</v>
      </c>
      <c r="B567" s="94" t="str">
        <f t="shared" si="8"/>
        <v>2019</v>
      </c>
      <c r="C567" s="76" t="s">
        <v>717</v>
      </c>
      <c r="D567" s="95" t="s">
        <v>397</v>
      </c>
      <c r="E567" s="95" t="s">
        <v>290</v>
      </c>
      <c r="F567" s="92">
        <v>145660.4</v>
      </c>
      <c r="G567" s="82" t="s">
        <v>101</v>
      </c>
      <c r="H567" s="72" t="s">
        <v>123</v>
      </c>
      <c r="I567" s="95"/>
      <c r="J567" s="95" t="str">
        <f>LEFT(empreend_Fehidro[[#This Row],[suBpdc classifc]],1)</f>
        <v/>
      </c>
      <c r="K567" s="86"/>
      <c r="L567" s="293"/>
    </row>
    <row r="568" spans="1:12" s="69" customFormat="1" ht="14.4">
      <c r="A568" s="89">
        <f>VLOOKUP(E568,Dim_Colegiado[],2,FALSE)</f>
        <v>14</v>
      </c>
      <c r="B568" s="90" t="str">
        <f t="shared" si="8"/>
        <v>2019</v>
      </c>
      <c r="C568" s="75" t="s">
        <v>718</v>
      </c>
      <c r="D568" s="91" t="s">
        <v>397</v>
      </c>
      <c r="E568" s="91" t="s">
        <v>290</v>
      </c>
      <c r="F568" s="88">
        <v>179041.24</v>
      </c>
      <c r="G568" s="82" t="s">
        <v>101</v>
      </c>
      <c r="H568" s="72" t="s">
        <v>123</v>
      </c>
      <c r="I568" s="91"/>
      <c r="J568" s="91" t="str">
        <f>LEFT(empreend_Fehidro[[#This Row],[suBpdc classifc]],1)</f>
        <v/>
      </c>
      <c r="K568" s="86"/>
      <c r="L568" s="293"/>
    </row>
    <row r="569" spans="1:12" s="70" customFormat="1" ht="14.4">
      <c r="A569" s="93">
        <f>VLOOKUP(E569,Dim_Colegiado[],2,FALSE)</f>
        <v>14</v>
      </c>
      <c r="B569" s="94" t="str">
        <f t="shared" si="8"/>
        <v>2019</v>
      </c>
      <c r="C569" s="76" t="s">
        <v>719</v>
      </c>
      <c r="D569" s="95" t="s">
        <v>397</v>
      </c>
      <c r="E569" s="95" t="s">
        <v>290</v>
      </c>
      <c r="F569" s="92">
        <v>208726.69</v>
      </c>
      <c r="G569" s="82" t="s">
        <v>101</v>
      </c>
      <c r="H569" s="72" t="s">
        <v>123</v>
      </c>
      <c r="I569" s="95"/>
      <c r="J569" s="95" t="str">
        <f>LEFT(empreend_Fehidro[[#This Row],[suBpdc classifc]],1)</f>
        <v/>
      </c>
      <c r="K569" s="86"/>
      <c r="L569" s="293"/>
    </row>
    <row r="570" spans="1:12" s="69" customFormat="1" ht="14.4">
      <c r="A570" s="89">
        <f>VLOOKUP(E570,Dim_Colegiado[],2,FALSE)</f>
        <v>14</v>
      </c>
      <c r="B570" s="90" t="str">
        <f t="shared" si="8"/>
        <v>2019</v>
      </c>
      <c r="C570" s="75" t="s">
        <v>720</v>
      </c>
      <c r="D570" s="91" t="s">
        <v>397</v>
      </c>
      <c r="E570" s="91" t="s">
        <v>290</v>
      </c>
      <c r="F570" s="88">
        <v>219996.93</v>
      </c>
      <c r="G570" s="82" t="s">
        <v>101</v>
      </c>
      <c r="H570" s="72" t="s">
        <v>123</v>
      </c>
      <c r="I570" s="91"/>
      <c r="J570" s="91" t="str">
        <f>LEFT(empreend_Fehidro[[#This Row],[suBpdc classifc]],1)</f>
        <v/>
      </c>
      <c r="K570" s="86"/>
      <c r="L570" s="293"/>
    </row>
    <row r="571" spans="1:12" s="69" customFormat="1" ht="14.4">
      <c r="A571" s="93">
        <f>VLOOKUP(E571,Dim_Colegiado[],2,FALSE)</f>
        <v>14</v>
      </c>
      <c r="B571" s="94" t="str">
        <f t="shared" si="8"/>
        <v>2019</v>
      </c>
      <c r="C571" s="76" t="s">
        <v>721</v>
      </c>
      <c r="D571" s="95" t="s">
        <v>397</v>
      </c>
      <c r="E571" s="95" t="s">
        <v>290</v>
      </c>
      <c r="F571" s="92">
        <v>251037.65</v>
      </c>
      <c r="G571" s="82" t="s">
        <v>101</v>
      </c>
      <c r="H571" s="72" t="s">
        <v>123</v>
      </c>
      <c r="I571" s="95"/>
      <c r="J571" s="95" t="str">
        <f>LEFT(empreend_Fehidro[[#This Row],[suBpdc classifc]],1)</f>
        <v/>
      </c>
      <c r="K571" s="86"/>
      <c r="L571" s="293"/>
    </row>
    <row r="572" spans="1:12" s="69" customFormat="1" ht="14.4">
      <c r="A572" s="89">
        <f>VLOOKUP(E572,Dim_Colegiado[],2,FALSE)</f>
        <v>14</v>
      </c>
      <c r="B572" s="90" t="str">
        <f t="shared" si="8"/>
        <v>2019</v>
      </c>
      <c r="C572" s="75" t="s">
        <v>722</v>
      </c>
      <c r="D572" s="91" t="s">
        <v>408</v>
      </c>
      <c r="E572" s="91" t="s">
        <v>290</v>
      </c>
      <c r="F572" s="88">
        <v>52276</v>
      </c>
      <c r="G572" s="82" t="s">
        <v>101</v>
      </c>
      <c r="H572" s="72" t="s">
        <v>123</v>
      </c>
      <c r="I572" s="91"/>
      <c r="J572" s="91" t="str">
        <f>LEFT(empreend_Fehidro[[#This Row],[suBpdc classifc]],1)</f>
        <v/>
      </c>
      <c r="K572" s="86"/>
      <c r="L572" s="293"/>
    </row>
    <row r="573" spans="1:12" s="69" customFormat="1" ht="14.4">
      <c r="A573" s="93">
        <f>VLOOKUP(E573,Dim_Colegiado[],2,FALSE)</f>
        <v>14</v>
      </c>
      <c r="B573" s="94" t="str">
        <f t="shared" si="8"/>
        <v>2019</v>
      </c>
      <c r="C573" s="76" t="s">
        <v>723</v>
      </c>
      <c r="D573" s="95" t="s">
        <v>408</v>
      </c>
      <c r="E573" s="95" t="s">
        <v>290</v>
      </c>
      <c r="F573" s="92">
        <v>126871.12</v>
      </c>
      <c r="G573" s="82" t="s">
        <v>101</v>
      </c>
      <c r="H573" s="72" t="s">
        <v>123</v>
      </c>
      <c r="I573" s="95"/>
      <c r="J573" s="95" t="str">
        <f>LEFT(empreend_Fehidro[[#This Row],[suBpdc classifc]],1)</f>
        <v/>
      </c>
      <c r="K573" s="86"/>
      <c r="L573" s="293"/>
    </row>
    <row r="574" spans="1:12" s="69" customFormat="1" ht="14.4">
      <c r="A574" s="89">
        <f>VLOOKUP(E574,Dim_Colegiado[],2,FALSE)</f>
        <v>14</v>
      </c>
      <c r="B574" s="90" t="str">
        <f t="shared" si="8"/>
        <v>2019</v>
      </c>
      <c r="C574" s="75" t="s">
        <v>724</v>
      </c>
      <c r="D574" s="91" t="s">
        <v>408</v>
      </c>
      <c r="E574" s="91" t="s">
        <v>290</v>
      </c>
      <c r="F574" s="88">
        <v>145577.87</v>
      </c>
      <c r="G574" s="82" t="s">
        <v>101</v>
      </c>
      <c r="H574" s="72" t="s">
        <v>123</v>
      </c>
      <c r="I574" s="91"/>
      <c r="J574" s="91" t="str">
        <f>LEFT(empreend_Fehidro[[#This Row],[suBpdc classifc]],1)</f>
        <v/>
      </c>
      <c r="K574" s="86"/>
      <c r="L574" s="293"/>
    </row>
    <row r="575" spans="1:12" s="69" customFormat="1" ht="14.4">
      <c r="A575" s="93">
        <f>VLOOKUP(E575,Dim_Colegiado[],2,FALSE)</f>
        <v>14</v>
      </c>
      <c r="B575" s="94" t="str">
        <f t="shared" si="8"/>
        <v>2019</v>
      </c>
      <c r="C575" s="76" t="s">
        <v>725</v>
      </c>
      <c r="D575" s="95" t="s">
        <v>408</v>
      </c>
      <c r="E575" s="95" t="s">
        <v>290</v>
      </c>
      <c r="F575" s="92">
        <v>147392.62</v>
      </c>
      <c r="G575" s="82" t="s">
        <v>101</v>
      </c>
      <c r="H575" s="72" t="s">
        <v>123</v>
      </c>
      <c r="I575" s="95"/>
      <c r="J575" s="95" t="str">
        <f>LEFT(empreend_Fehidro[[#This Row],[suBpdc classifc]],1)</f>
        <v/>
      </c>
      <c r="K575" s="86"/>
      <c r="L575" s="293"/>
    </row>
    <row r="576" spans="1:12" s="69" customFormat="1" ht="14.4">
      <c r="A576" s="89">
        <f>VLOOKUP(E576,Dim_Colegiado[],2,FALSE)</f>
        <v>15</v>
      </c>
      <c r="B576" s="90" t="str">
        <f t="shared" si="8"/>
        <v>2019</v>
      </c>
      <c r="C576" s="75" t="s">
        <v>726</v>
      </c>
      <c r="D576" s="91" t="s">
        <v>411</v>
      </c>
      <c r="E576" s="91" t="s">
        <v>295</v>
      </c>
      <c r="F576" s="88">
        <v>135775.28</v>
      </c>
      <c r="G576" s="82" t="s">
        <v>101</v>
      </c>
      <c r="H576" s="72" t="s">
        <v>123</v>
      </c>
      <c r="I576" s="91"/>
      <c r="J576" s="91" t="str">
        <f>LEFT(empreend_Fehidro[[#This Row],[suBpdc classifc]],1)</f>
        <v/>
      </c>
      <c r="K576" s="86"/>
      <c r="L576" s="293"/>
    </row>
    <row r="577" spans="1:12" s="69" customFormat="1" ht="14.4">
      <c r="A577" s="78">
        <f>VLOOKUP(E577,Dim_Colegiado[],2,FALSE)</f>
        <v>15</v>
      </c>
      <c r="B577" s="67" t="str">
        <f t="shared" si="8"/>
        <v>2019</v>
      </c>
      <c r="C577" s="74" t="s">
        <v>727</v>
      </c>
      <c r="D577" s="68" t="s">
        <v>411</v>
      </c>
      <c r="E577" s="68" t="s">
        <v>295</v>
      </c>
      <c r="F577" s="92">
        <v>250000</v>
      </c>
      <c r="G577" s="82" t="s">
        <v>101</v>
      </c>
      <c r="H577" s="72" t="s">
        <v>123</v>
      </c>
      <c r="I577" s="95"/>
      <c r="J577" s="95" t="str">
        <f>LEFT(empreend_Fehidro[[#This Row],[suBpdc classifc]],1)</f>
        <v/>
      </c>
      <c r="K577" s="86"/>
      <c r="L577" s="293"/>
    </row>
    <row r="578" spans="1:12" s="69" customFormat="1" ht="14.4">
      <c r="A578" s="89">
        <f>VLOOKUP(E578,Dim_Colegiado[],2,FALSE)</f>
        <v>15</v>
      </c>
      <c r="B578" s="90" t="str">
        <f t="shared" ref="B578:B641" si="9">LEFT(C578,4)</f>
        <v>2019</v>
      </c>
      <c r="C578" s="75" t="s">
        <v>728</v>
      </c>
      <c r="D578" s="91" t="s">
        <v>397</v>
      </c>
      <c r="E578" s="91" t="s">
        <v>295</v>
      </c>
      <c r="F578" s="88">
        <v>127816.5</v>
      </c>
      <c r="G578" s="82" t="s">
        <v>101</v>
      </c>
      <c r="H578" s="72" t="s">
        <v>123</v>
      </c>
      <c r="I578" s="91"/>
      <c r="J578" s="91" t="str">
        <f>LEFT(empreend_Fehidro[[#This Row],[suBpdc classifc]],1)</f>
        <v/>
      </c>
      <c r="K578" s="86"/>
      <c r="L578" s="293"/>
    </row>
    <row r="579" spans="1:12" s="69" customFormat="1" ht="14.4">
      <c r="A579" s="78">
        <f>VLOOKUP(E579,Dim_Colegiado[],2,FALSE)</f>
        <v>15</v>
      </c>
      <c r="B579" s="67" t="str">
        <f t="shared" si="9"/>
        <v>2019</v>
      </c>
      <c r="C579" s="74" t="s">
        <v>729</v>
      </c>
      <c r="D579" s="68" t="s">
        <v>397</v>
      </c>
      <c r="E579" s="68" t="s">
        <v>295</v>
      </c>
      <c r="F579" s="92">
        <v>275099.01</v>
      </c>
      <c r="G579" s="82" t="s">
        <v>101</v>
      </c>
      <c r="H579" s="72" t="s">
        <v>123</v>
      </c>
      <c r="I579" s="95"/>
      <c r="J579" s="95" t="str">
        <f>LEFT(empreend_Fehidro[[#This Row],[suBpdc classifc]],1)</f>
        <v/>
      </c>
      <c r="K579" s="86"/>
      <c r="L579" s="293"/>
    </row>
    <row r="580" spans="1:12" s="69" customFormat="1" ht="14.4">
      <c r="A580" s="89">
        <f>VLOOKUP(E580,Dim_Colegiado[],2,FALSE)</f>
        <v>15</v>
      </c>
      <c r="B580" s="90" t="str">
        <f t="shared" si="9"/>
        <v>2019</v>
      </c>
      <c r="C580" s="75" t="s">
        <v>730</v>
      </c>
      <c r="D580" s="91" t="s">
        <v>397</v>
      </c>
      <c r="E580" s="91" t="s">
        <v>295</v>
      </c>
      <c r="F580" s="88">
        <v>520000</v>
      </c>
      <c r="G580" s="82" t="s">
        <v>101</v>
      </c>
      <c r="H580" s="72" t="s">
        <v>123</v>
      </c>
      <c r="I580" s="91"/>
      <c r="J580" s="91" t="str">
        <f>LEFT(empreend_Fehidro[[#This Row],[suBpdc classifc]],1)</f>
        <v/>
      </c>
      <c r="K580" s="86"/>
      <c r="L580" s="293"/>
    </row>
    <row r="581" spans="1:12" s="69" customFormat="1" ht="14.4">
      <c r="A581" s="78">
        <f>VLOOKUP(E581,Dim_Colegiado[],2,FALSE)</f>
        <v>15</v>
      </c>
      <c r="B581" s="67" t="str">
        <f t="shared" si="9"/>
        <v>2019</v>
      </c>
      <c r="C581" s="74" t="s">
        <v>731</v>
      </c>
      <c r="D581" s="68" t="s">
        <v>397</v>
      </c>
      <c r="E581" s="68" t="s">
        <v>295</v>
      </c>
      <c r="F581" s="92">
        <v>118725.07</v>
      </c>
      <c r="G581" s="82" t="s">
        <v>101</v>
      </c>
      <c r="H581" s="72" t="s">
        <v>123</v>
      </c>
      <c r="I581" s="95"/>
      <c r="J581" s="95" t="str">
        <f>LEFT(empreend_Fehidro[[#This Row],[suBpdc classifc]],1)</f>
        <v/>
      </c>
      <c r="K581" s="86"/>
      <c r="L581" s="293"/>
    </row>
    <row r="582" spans="1:12" s="69" customFormat="1" ht="14.4">
      <c r="A582" s="89">
        <f>VLOOKUP(E582,Dim_Colegiado[],2,FALSE)</f>
        <v>15</v>
      </c>
      <c r="B582" s="90" t="str">
        <f t="shared" si="9"/>
        <v>2019</v>
      </c>
      <c r="C582" s="75" t="s">
        <v>732</v>
      </c>
      <c r="D582" s="91" t="s">
        <v>397</v>
      </c>
      <c r="E582" s="91" t="s">
        <v>295</v>
      </c>
      <c r="F582" s="88">
        <v>151434.21</v>
      </c>
      <c r="G582" s="82" t="s">
        <v>101</v>
      </c>
      <c r="H582" s="72" t="s">
        <v>123</v>
      </c>
      <c r="I582" s="91"/>
      <c r="J582" s="91" t="str">
        <f>LEFT(empreend_Fehidro[[#This Row],[suBpdc classifc]],1)</f>
        <v/>
      </c>
      <c r="K582" s="86"/>
      <c r="L582" s="293"/>
    </row>
    <row r="583" spans="1:12" s="69" customFormat="1" ht="14.4">
      <c r="A583" s="78">
        <f>VLOOKUP(E583,Dim_Colegiado[],2,FALSE)</f>
        <v>15</v>
      </c>
      <c r="B583" s="67" t="str">
        <f t="shared" si="9"/>
        <v>2019</v>
      </c>
      <c r="C583" s="74" t="s">
        <v>733</v>
      </c>
      <c r="D583" s="68" t="s">
        <v>397</v>
      </c>
      <c r="E583" s="68" t="s">
        <v>295</v>
      </c>
      <c r="F583" s="92">
        <v>274877</v>
      </c>
      <c r="G583" s="82" t="s">
        <v>101</v>
      </c>
      <c r="H583" s="72" t="s">
        <v>123</v>
      </c>
      <c r="I583" s="95"/>
      <c r="J583" s="95" t="str">
        <f>LEFT(empreend_Fehidro[[#This Row],[suBpdc classifc]],1)</f>
        <v/>
      </c>
      <c r="K583" s="86"/>
      <c r="L583" s="293"/>
    </row>
    <row r="584" spans="1:12" s="69" customFormat="1" ht="14.4">
      <c r="A584" s="89">
        <f>VLOOKUP(E584,Dim_Colegiado[],2,FALSE)</f>
        <v>15</v>
      </c>
      <c r="B584" s="90" t="str">
        <f t="shared" si="9"/>
        <v>2019</v>
      </c>
      <c r="C584" s="75" t="s">
        <v>734</v>
      </c>
      <c r="D584" s="91" t="s">
        <v>397</v>
      </c>
      <c r="E584" s="91" t="s">
        <v>295</v>
      </c>
      <c r="F584" s="88">
        <v>425996.13</v>
      </c>
      <c r="G584" s="82" t="s">
        <v>101</v>
      </c>
      <c r="H584" s="72" t="s">
        <v>123</v>
      </c>
      <c r="I584" s="91"/>
      <c r="J584" s="91" t="str">
        <f>LEFT(empreend_Fehidro[[#This Row],[suBpdc classifc]],1)</f>
        <v/>
      </c>
      <c r="K584" s="86"/>
      <c r="L584" s="293"/>
    </row>
    <row r="585" spans="1:12" s="69" customFormat="1" ht="14.4">
      <c r="A585" s="78">
        <f>VLOOKUP(E585,Dim_Colegiado[],2,FALSE)</f>
        <v>15</v>
      </c>
      <c r="B585" s="67" t="str">
        <f t="shared" si="9"/>
        <v>2019</v>
      </c>
      <c r="C585" s="74" t="s">
        <v>735</v>
      </c>
      <c r="D585" s="68" t="s">
        <v>397</v>
      </c>
      <c r="E585" s="68" t="s">
        <v>295</v>
      </c>
      <c r="F585" s="92">
        <v>484941.56</v>
      </c>
      <c r="G585" s="82" t="s">
        <v>101</v>
      </c>
      <c r="H585" s="72" t="s">
        <v>123</v>
      </c>
      <c r="I585" s="95"/>
      <c r="J585" s="95" t="str">
        <f>LEFT(empreend_Fehidro[[#This Row],[suBpdc classifc]],1)</f>
        <v/>
      </c>
      <c r="K585" s="86"/>
      <c r="L585" s="293"/>
    </row>
    <row r="586" spans="1:12" s="69" customFormat="1" ht="14.4">
      <c r="A586" s="89">
        <f>VLOOKUP(E586,Dim_Colegiado[],2,FALSE)</f>
        <v>15</v>
      </c>
      <c r="B586" s="90" t="str">
        <f t="shared" si="9"/>
        <v>2019</v>
      </c>
      <c r="C586" s="75" t="s">
        <v>736</v>
      </c>
      <c r="D586" s="91" t="s">
        <v>408</v>
      </c>
      <c r="E586" s="91" t="s">
        <v>295</v>
      </c>
      <c r="F586" s="88">
        <v>452612.3</v>
      </c>
      <c r="G586" s="82" t="s">
        <v>101</v>
      </c>
      <c r="H586" s="72" t="s">
        <v>123</v>
      </c>
      <c r="I586" s="91"/>
      <c r="J586" s="91" t="str">
        <f>LEFT(empreend_Fehidro[[#This Row],[suBpdc classifc]],1)</f>
        <v/>
      </c>
      <c r="K586" s="86"/>
      <c r="L586" s="293"/>
    </row>
    <row r="587" spans="1:12" s="69" customFormat="1" ht="14.4">
      <c r="A587" s="78">
        <f>VLOOKUP(E587,Dim_Colegiado[],2,FALSE)</f>
        <v>15</v>
      </c>
      <c r="B587" s="67" t="str">
        <f t="shared" si="9"/>
        <v>2019</v>
      </c>
      <c r="C587" s="74" t="s">
        <v>737</v>
      </c>
      <c r="D587" s="68" t="s">
        <v>408</v>
      </c>
      <c r="E587" s="68" t="s">
        <v>295</v>
      </c>
      <c r="F587" s="92">
        <v>459336.2</v>
      </c>
      <c r="G587" s="82" t="s">
        <v>101</v>
      </c>
      <c r="H587" s="72" t="s">
        <v>123</v>
      </c>
      <c r="I587" s="95"/>
      <c r="J587" s="95" t="str">
        <f>LEFT(empreend_Fehidro[[#This Row],[suBpdc classifc]],1)</f>
        <v/>
      </c>
      <c r="K587" s="86"/>
      <c r="L587" s="293"/>
    </row>
    <row r="588" spans="1:12" s="69" customFormat="1" ht="14.4">
      <c r="A588" s="89">
        <f>VLOOKUP(E588,Dim_Colegiado[],2,FALSE)</f>
        <v>15</v>
      </c>
      <c r="B588" s="90" t="str">
        <f t="shared" si="9"/>
        <v>2019</v>
      </c>
      <c r="C588" s="75" t="s">
        <v>738</v>
      </c>
      <c r="D588" s="91" t="s">
        <v>408</v>
      </c>
      <c r="E588" s="91" t="s">
        <v>295</v>
      </c>
      <c r="F588" s="88">
        <v>250000</v>
      </c>
      <c r="G588" s="82" t="s">
        <v>101</v>
      </c>
      <c r="H588" s="72" t="s">
        <v>123</v>
      </c>
      <c r="I588" s="91"/>
      <c r="J588" s="91" t="str">
        <f>LEFT(empreend_Fehidro[[#This Row],[suBpdc classifc]],1)</f>
        <v/>
      </c>
      <c r="K588" s="86"/>
      <c r="L588" s="293"/>
    </row>
    <row r="589" spans="1:12" s="69" customFormat="1" ht="14.4">
      <c r="A589" s="89">
        <f>VLOOKUP(E589,Dim_Colegiado[],2,FALSE)</f>
        <v>16</v>
      </c>
      <c r="B589" s="90" t="str">
        <f t="shared" si="9"/>
        <v>2019</v>
      </c>
      <c r="C589" s="75" t="s">
        <v>739</v>
      </c>
      <c r="D589" s="91" t="s">
        <v>411</v>
      </c>
      <c r="E589" s="91" t="s">
        <v>299</v>
      </c>
      <c r="F589" s="88">
        <v>66545.03</v>
      </c>
      <c r="G589" s="82" t="s">
        <v>101</v>
      </c>
      <c r="H589" s="72" t="s">
        <v>123</v>
      </c>
      <c r="I589" s="91"/>
      <c r="J589" s="91" t="str">
        <f>LEFT(empreend_Fehidro[[#This Row],[suBpdc classifc]],1)</f>
        <v/>
      </c>
      <c r="K589" s="86"/>
      <c r="L589" s="293"/>
    </row>
    <row r="590" spans="1:12" s="69" customFormat="1" ht="14.4">
      <c r="A590" s="78">
        <f>VLOOKUP(E590,Dim_Colegiado[],2,FALSE)</f>
        <v>16</v>
      </c>
      <c r="B590" s="67" t="str">
        <f t="shared" si="9"/>
        <v>2019</v>
      </c>
      <c r="C590" s="74" t="s">
        <v>740</v>
      </c>
      <c r="D590" s="68" t="s">
        <v>411</v>
      </c>
      <c r="E590" s="68" t="s">
        <v>299</v>
      </c>
      <c r="F590" s="92">
        <v>68561.31</v>
      </c>
      <c r="G590" s="82" t="s">
        <v>101</v>
      </c>
      <c r="H590" s="72" t="s">
        <v>123</v>
      </c>
      <c r="I590" s="95"/>
      <c r="J590" s="95" t="str">
        <f>LEFT(empreend_Fehidro[[#This Row],[suBpdc classifc]],1)</f>
        <v/>
      </c>
      <c r="K590" s="86"/>
      <c r="L590" s="293"/>
    </row>
    <row r="591" spans="1:12" s="69" customFormat="1" ht="14.4">
      <c r="A591" s="89">
        <f>VLOOKUP(E591,Dim_Colegiado[],2,FALSE)</f>
        <v>16</v>
      </c>
      <c r="B591" s="90" t="str">
        <f t="shared" si="9"/>
        <v>2019</v>
      </c>
      <c r="C591" s="75" t="s">
        <v>741</v>
      </c>
      <c r="D591" s="91" t="s">
        <v>411</v>
      </c>
      <c r="E591" s="91" t="s">
        <v>299</v>
      </c>
      <c r="F591" s="88">
        <v>88040.26</v>
      </c>
      <c r="G591" s="82" t="s">
        <v>101</v>
      </c>
      <c r="H591" s="72" t="s">
        <v>123</v>
      </c>
      <c r="I591" s="91"/>
      <c r="J591" s="91" t="str">
        <f>LEFT(empreend_Fehidro[[#This Row],[suBpdc classifc]],1)</f>
        <v/>
      </c>
      <c r="K591" s="86"/>
      <c r="L591" s="293"/>
    </row>
    <row r="592" spans="1:12" s="69" customFormat="1" ht="14.4">
      <c r="A592" s="78">
        <f>VLOOKUP(E592,Dim_Colegiado[],2,FALSE)</f>
        <v>16</v>
      </c>
      <c r="B592" s="67" t="str">
        <f t="shared" si="9"/>
        <v>2019</v>
      </c>
      <c r="C592" s="74" t="s">
        <v>742</v>
      </c>
      <c r="D592" s="68" t="s">
        <v>411</v>
      </c>
      <c r="E592" s="68" t="s">
        <v>299</v>
      </c>
      <c r="F592" s="92">
        <v>187191.04000000001</v>
      </c>
      <c r="G592" s="82" t="s">
        <v>101</v>
      </c>
      <c r="H592" s="72" t="s">
        <v>123</v>
      </c>
      <c r="I592" s="95"/>
      <c r="J592" s="95" t="str">
        <f>LEFT(empreend_Fehidro[[#This Row],[suBpdc classifc]],1)</f>
        <v/>
      </c>
      <c r="K592" s="86"/>
      <c r="L592" s="293"/>
    </row>
    <row r="593" spans="1:12" s="69" customFormat="1" ht="14.4">
      <c r="A593" s="89">
        <f>VLOOKUP(E593,Dim_Colegiado[],2,FALSE)</f>
        <v>16</v>
      </c>
      <c r="B593" s="90" t="str">
        <f t="shared" si="9"/>
        <v>2019</v>
      </c>
      <c r="C593" s="75" t="s">
        <v>743</v>
      </c>
      <c r="D593" s="91" t="s">
        <v>411</v>
      </c>
      <c r="E593" s="91" t="s">
        <v>299</v>
      </c>
      <c r="F593" s="88">
        <v>76378.289999999994</v>
      </c>
      <c r="G593" s="82" t="s">
        <v>101</v>
      </c>
      <c r="H593" s="72" t="s">
        <v>123</v>
      </c>
      <c r="I593" s="91"/>
      <c r="J593" s="91" t="str">
        <f>LEFT(empreend_Fehidro[[#This Row],[suBpdc classifc]],1)</f>
        <v/>
      </c>
      <c r="K593" s="86"/>
      <c r="L593" s="293"/>
    </row>
    <row r="594" spans="1:12" s="69" customFormat="1" ht="14.4">
      <c r="A594" s="78">
        <f>VLOOKUP(E594,Dim_Colegiado[],2,FALSE)</f>
        <v>16</v>
      </c>
      <c r="B594" s="67" t="str">
        <f t="shared" si="9"/>
        <v>2019</v>
      </c>
      <c r="C594" s="74" t="s">
        <v>744</v>
      </c>
      <c r="D594" s="68" t="s">
        <v>411</v>
      </c>
      <c r="E594" s="68" t="s">
        <v>299</v>
      </c>
      <c r="F594" s="92">
        <v>195823.6</v>
      </c>
      <c r="G594" s="82" t="s">
        <v>101</v>
      </c>
      <c r="H594" s="72" t="s">
        <v>123</v>
      </c>
      <c r="I594" s="95"/>
      <c r="J594" s="95" t="str">
        <f>LEFT(empreend_Fehidro[[#This Row],[suBpdc classifc]],1)</f>
        <v/>
      </c>
      <c r="K594" s="86"/>
      <c r="L594" s="293"/>
    </row>
    <row r="595" spans="1:12" s="141" customFormat="1" ht="10.5" customHeight="1">
      <c r="A595" s="89">
        <f>VLOOKUP(E595,Dim_Colegiado[],2,FALSE)</f>
        <v>16</v>
      </c>
      <c r="B595" s="90" t="str">
        <f t="shared" si="9"/>
        <v>2019</v>
      </c>
      <c r="C595" s="75" t="s">
        <v>745</v>
      </c>
      <c r="D595" s="91" t="s">
        <v>411</v>
      </c>
      <c r="E595" s="91" t="s">
        <v>299</v>
      </c>
      <c r="F595" s="88">
        <v>182068.6</v>
      </c>
      <c r="G595" s="82" t="s">
        <v>101</v>
      </c>
      <c r="H595" s="72" t="s">
        <v>123</v>
      </c>
      <c r="I595" s="91"/>
      <c r="J595" s="91" t="str">
        <f>LEFT(empreend_Fehidro[[#This Row],[suBpdc classifc]],1)</f>
        <v/>
      </c>
      <c r="K595" s="86"/>
      <c r="L595" s="293"/>
    </row>
    <row r="596" spans="1:12" s="141" customFormat="1" ht="10.5" customHeight="1">
      <c r="A596" s="78">
        <f>VLOOKUP(E596,Dim_Colegiado[],2,FALSE)</f>
        <v>16</v>
      </c>
      <c r="B596" s="67" t="str">
        <f t="shared" si="9"/>
        <v>2019</v>
      </c>
      <c r="C596" s="74" t="s">
        <v>746</v>
      </c>
      <c r="D596" s="95" t="s">
        <v>411</v>
      </c>
      <c r="E596" s="68" t="s">
        <v>299</v>
      </c>
      <c r="F596" s="92">
        <v>714544.08</v>
      </c>
      <c r="G596" s="82" t="s">
        <v>101</v>
      </c>
      <c r="H596" s="72" t="s">
        <v>123</v>
      </c>
      <c r="I596" s="95"/>
      <c r="J596" s="95" t="str">
        <f>LEFT(empreend_Fehidro[[#This Row],[suBpdc classifc]],1)</f>
        <v/>
      </c>
      <c r="K596" s="86"/>
      <c r="L596" s="293"/>
    </row>
    <row r="597" spans="1:12" s="141" customFormat="1" ht="10.5" customHeight="1">
      <c r="A597" s="89">
        <f>VLOOKUP(E597,Dim_Colegiado[],2,FALSE)</f>
        <v>16</v>
      </c>
      <c r="B597" s="90" t="str">
        <f t="shared" si="9"/>
        <v>2019</v>
      </c>
      <c r="C597" s="75" t="s">
        <v>747</v>
      </c>
      <c r="D597" s="91" t="s">
        <v>411</v>
      </c>
      <c r="E597" s="91" t="s">
        <v>299</v>
      </c>
      <c r="F597" s="88">
        <v>266194.59999999998</v>
      </c>
      <c r="G597" s="82" t="s">
        <v>101</v>
      </c>
      <c r="H597" s="72" t="s">
        <v>123</v>
      </c>
      <c r="I597" s="91"/>
      <c r="J597" s="91" t="str">
        <f>LEFT(empreend_Fehidro[[#This Row],[suBpdc classifc]],1)</f>
        <v/>
      </c>
      <c r="K597" s="86"/>
      <c r="L597" s="293"/>
    </row>
    <row r="598" spans="1:12" s="141" customFormat="1" ht="10.5" customHeight="1">
      <c r="A598" s="78">
        <f>VLOOKUP(E598,Dim_Colegiado[],2,FALSE)</f>
        <v>16</v>
      </c>
      <c r="B598" s="67" t="str">
        <f t="shared" si="9"/>
        <v>2019</v>
      </c>
      <c r="C598" s="74" t="s">
        <v>748</v>
      </c>
      <c r="D598" s="68" t="s">
        <v>397</v>
      </c>
      <c r="E598" s="68" t="s">
        <v>299</v>
      </c>
      <c r="F598" s="92">
        <v>140904.51999999999</v>
      </c>
      <c r="G598" s="82" t="s">
        <v>101</v>
      </c>
      <c r="H598" s="72" t="s">
        <v>123</v>
      </c>
      <c r="I598" s="95"/>
      <c r="J598" s="95" t="str">
        <f>LEFT(empreend_Fehidro[[#This Row],[suBpdc classifc]],1)</f>
        <v/>
      </c>
      <c r="K598" s="86"/>
      <c r="L598" s="293"/>
    </row>
    <row r="599" spans="1:12" s="141" customFormat="1" ht="10.5" customHeight="1">
      <c r="A599" s="89">
        <f>VLOOKUP(E599,Dim_Colegiado[],2,FALSE)</f>
        <v>16</v>
      </c>
      <c r="B599" s="90" t="str">
        <f t="shared" si="9"/>
        <v>2019</v>
      </c>
      <c r="C599" s="75" t="s">
        <v>749</v>
      </c>
      <c r="D599" s="91" t="s">
        <v>397</v>
      </c>
      <c r="E599" s="91" t="s">
        <v>299</v>
      </c>
      <c r="F599" s="88">
        <v>283840</v>
      </c>
      <c r="G599" s="82" t="s">
        <v>101</v>
      </c>
      <c r="H599" s="72" t="s">
        <v>123</v>
      </c>
      <c r="I599" s="91"/>
      <c r="J599" s="91" t="str">
        <f>LEFT(empreend_Fehidro[[#This Row],[suBpdc classifc]],1)</f>
        <v/>
      </c>
      <c r="K599" s="86"/>
      <c r="L599" s="293"/>
    </row>
    <row r="600" spans="1:12" s="141" customFormat="1" ht="10.5" customHeight="1">
      <c r="A600" s="78">
        <f>VLOOKUP(E600,Dim_Colegiado[],2,FALSE)</f>
        <v>16</v>
      </c>
      <c r="B600" s="67" t="str">
        <f t="shared" si="9"/>
        <v>2019</v>
      </c>
      <c r="C600" s="74" t="s">
        <v>750</v>
      </c>
      <c r="D600" s="68" t="s">
        <v>397</v>
      </c>
      <c r="E600" s="68" t="s">
        <v>299</v>
      </c>
      <c r="F600" s="92">
        <v>491306.15</v>
      </c>
      <c r="G600" s="82" t="s">
        <v>101</v>
      </c>
      <c r="H600" s="72" t="s">
        <v>123</v>
      </c>
      <c r="I600" s="95"/>
      <c r="J600" s="95" t="str">
        <f>LEFT(empreend_Fehidro[[#This Row],[suBpdc classifc]],1)</f>
        <v/>
      </c>
      <c r="K600" s="86"/>
      <c r="L600" s="293"/>
    </row>
    <row r="601" spans="1:12" s="141" customFormat="1" ht="10.5" customHeight="1">
      <c r="A601" s="89">
        <f>VLOOKUP(E601,Dim_Colegiado[],2,FALSE)</f>
        <v>16</v>
      </c>
      <c r="B601" s="90" t="str">
        <f t="shared" si="9"/>
        <v>2019</v>
      </c>
      <c r="C601" s="75" t="s">
        <v>751</v>
      </c>
      <c r="D601" s="91" t="s">
        <v>397</v>
      </c>
      <c r="E601" s="91" t="s">
        <v>299</v>
      </c>
      <c r="F601" s="88">
        <v>163550.82</v>
      </c>
      <c r="G601" s="82" t="s">
        <v>101</v>
      </c>
      <c r="H601" s="72" t="s">
        <v>123</v>
      </c>
      <c r="I601" s="91"/>
      <c r="J601" s="91" t="str">
        <f>LEFT(empreend_Fehidro[[#This Row],[suBpdc classifc]],1)</f>
        <v/>
      </c>
      <c r="K601" s="86"/>
      <c r="L601" s="293"/>
    </row>
    <row r="602" spans="1:12" s="141" customFormat="1" ht="10.5" customHeight="1">
      <c r="A602" s="78">
        <f>VLOOKUP(E602,Dim_Colegiado[],2,FALSE)</f>
        <v>16</v>
      </c>
      <c r="B602" s="67" t="str">
        <f t="shared" si="9"/>
        <v>2019</v>
      </c>
      <c r="C602" s="74" t="s">
        <v>752</v>
      </c>
      <c r="D602" s="68" t="s">
        <v>397</v>
      </c>
      <c r="E602" s="68" t="s">
        <v>299</v>
      </c>
      <c r="F602" s="92">
        <v>766133.26</v>
      </c>
      <c r="G602" s="82" t="s">
        <v>101</v>
      </c>
      <c r="H602" s="72" t="s">
        <v>123</v>
      </c>
      <c r="I602" s="95"/>
      <c r="J602" s="95" t="str">
        <f>LEFT(empreend_Fehidro[[#This Row],[suBpdc classifc]],1)</f>
        <v/>
      </c>
      <c r="K602" s="86"/>
      <c r="L602" s="293"/>
    </row>
    <row r="603" spans="1:12" s="141" customFormat="1" ht="10.5" customHeight="1">
      <c r="A603" s="89">
        <f>VLOOKUP(E603,Dim_Colegiado[],2,FALSE)</f>
        <v>16</v>
      </c>
      <c r="B603" s="90" t="str">
        <f t="shared" si="9"/>
        <v>2019</v>
      </c>
      <c r="C603" s="75" t="s">
        <v>753</v>
      </c>
      <c r="D603" s="91" t="s">
        <v>397</v>
      </c>
      <c r="E603" s="91" t="s">
        <v>299</v>
      </c>
      <c r="F603" s="88">
        <v>623366.9</v>
      </c>
      <c r="G603" s="82" t="s">
        <v>101</v>
      </c>
      <c r="H603" s="72" t="s">
        <v>123</v>
      </c>
      <c r="I603" s="91"/>
      <c r="J603" s="91" t="str">
        <f>LEFT(empreend_Fehidro[[#This Row],[suBpdc classifc]],1)</f>
        <v/>
      </c>
      <c r="K603" s="86"/>
      <c r="L603" s="293"/>
    </row>
    <row r="604" spans="1:12" s="141" customFormat="1" ht="10.5" customHeight="1">
      <c r="A604" s="78">
        <f>VLOOKUP(E604,Dim_Colegiado[],2,FALSE)</f>
        <v>16</v>
      </c>
      <c r="B604" s="67" t="str">
        <f t="shared" si="9"/>
        <v>2019</v>
      </c>
      <c r="C604" s="74" t="s">
        <v>754</v>
      </c>
      <c r="D604" s="68" t="s">
        <v>397</v>
      </c>
      <c r="E604" s="68" t="s">
        <v>299</v>
      </c>
      <c r="F604" s="92">
        <v>695753.52</v>
      </c>
      <c r="G604" s="82" t="s">
        <v>101</v>
      </c>
      <c r="H604" s="72" t="s">
        <v>123</v>
      </c>
      <c r="I604" s="95"/>
      <c r="J604" s="95" t="str">
        <f>LEFT(empreend_Fehidro[[#This Row],[suBpdc classifc]],1)</f>
        <v/>
      </c>
      <c r="K604" s="86"/>
      <c r="L604" s="293"/>
    </row>
    <row r="605" spans="1:12" s="141" customFormat="1" ht="10.5" customHeight="1">
      <c r="A605" s="89">
        <f>VLOOKUP(E605,Dim_Colegiado[],2,FALSE)</f>
        <v>16</v>
      </c>
      <c r="B605" s="90" t="str">
        <f t="shared" si="9"/>
        <v>2019</v>
      </c>
      <c r="C605" s="75" t="s">
        <v>755</v>
      </c>
      <c r="D605" s="91" t="s">
        <v>397</v>
      </c>
      <c r="E605" s="91" t="s">
        <v>299</v>
      </c>
      <c r="F605" s="88">
        <v>2074650</v>
      </c>
      <c r="G605" s="82" t="s">
        <v>101</v>
      </c>
      <c r="H605" s="72" t="s">
        <v>123</v>
      </c>
      <c r="I605" s="91"/>
      <c r="J605" s="91" t="str">
        <f>LEFT(empreend_Fehidro[[#This Row],[suBpdc classifc]],1)</f>
        <v/>
      </c>
      <c r="K605" s="86"/>
      <c r="L605" s="293"/>
    </row>
    <row r="606" spans="1:12" s="141" customFormat="1" ht="10.5" customHeight="1">
      <c r="A606" s="78">
        <f>VLOOKUP(E606,Dim_Colegiado[],2,FALSE)</f>
        <v>16</v>
      </c>
      <c r="B606" s="67" t="str">
        <f t="shared" si="9"/>
        <v>2019</v>
      </c>
      <c r="C606" s="74" t="s">
        <v>756</v>
      </c>
      <c r="D606" s="68" t="s">
        <v>408</v>
      </c>
      <c r="E606" s="68" t="s">
        <v>299</v>
      </c>
      <c r="F606" s="92">
        <v>57673.4</v>
      </c>
      <c r="G606" s="82" t="s">
        <v>101</v>
      </c>
      <c r="H606" s="72" t="s">
        <v>123</v>
      </c>
      <c r="I606" s="95"/>
      <c r="J606" s="95" t="str">
        <f>LEFT(empreend_Fehidro[[#This Row],[suBpdc classifc]],1)</f>
        <v/>
      </c>
      <c r="K606" s="86"/>
      <c r="L606" s="293"/>
    </row>
    <row r="607" spans="1:12" s="141" customFormat="1" ht="10.5" customHeight="1">
      <c r="A607" s="89">
        <f>VLOOKUP(E607,Dim_Colegiado[],2,FALSE)</f>
        <v>16</v>
      </c>
      <c r="B607" s="90" t="str">
        <f t="shared" si="9"/>
        <v>2019</v>
      </c>
      <c r="C607" s="75" t="s">
        <v>757</v>
      </c>
      <c r="D607" s="91" t="s">
        <v>408</v>
      </c>
      <c r="E607" s="91" t="s">
        <v>299</v>
      </c>
      <c r="F607" s="88">
        <v>106561.48</v>
      </c>
      <c r="G607" s="82" t="s">
        <v>101</v>
      </c>
      <c r="H607" s="72" t="s">
        <v>123</v>
      </c>
      <c r="I607" s="91"/>
      <c r="J607" s="91" t="str">
        <f>LEFT(empreend_Fehidro[[#This Row],[suBpdc classifc]],1)</f>
        <v/>
      </c>
      <c r="K607" s="86"/>
      <c r="L607" s="293"/>
    </row>
    <row r="608" spans="1:12" s="141" customFormat="1" ht="10.5" customHeight="1">
      <c r="A608" s="78">
        <f>VLOOKUP(E608,Dim_Colegiado[],2,FALSE)</f>
        <v>16</v>
      </c>
      <c r="B608" s="67" t="str">
        <f t="shared" si="9"/>
        <v>2019</v>
      </c>
      <c r="C608" s="74" t="s">
        <v>758</v>
      </c>
      <c r="D608" s="68" t="s">
        <v>408</v>
      </c>
      <c r="E608" s="68" t="s">
        <v>299</v>
      </c>
      <c r="F608" s="92">
        <v>154617</v>
      </c>
      <c r="G608" s="82" t="s">
        <v>101</v>
      </c>
      <c r="H608" s="72" t="s">
        <v>123</v>
      </c>
      <c r="I608" s="95"/>
      <c r="J608" s="95" t="str">
        <f>LEFT(empreend_Fehidro[[#This Row],[suBpdc classifc]],1)</f>
        <v/>
      </c>
      <c r="K608" s="86"/>
      <c r="L608" s="293"/>
    </row>
    <row r="609" spans="1:12" s="141" customFormat="1" ht="10.5" customHeight="1">
      <c r="A609" s="89">
        <f>VLOOKUP(E609,Dim_Colegiado[],2,FALSE)</f>
        <v>16</v>
      </c>
      <c r="B609" s="90" t="str">
        <f t="shared" si="9"/>
        <v>2019</v>
      </c>
      <c r="C609" s="75" t="s">
        <v>759</v>
      </c>
      <c r="D609" s="91" t="s">
        <v>408</v>
      </c>
      <c r="E609" s="91" t="s">
        <v>299</v>
      </c>
      <c r="F609" s="88">
        <v>238540.25</v>
      </c>
      <c r="G609" s="82" t="s">
        <v>101</v>
      </c>
      <c r="H609" s="72" t="s">
        <v>123</v>
      </c>
      <c r="I609" s="91"/>
      <c r="J609" s="91" t="str">
        <f>LEFT(empreend_Fehidro[[#This Row],[suBpdc classifc]],1)</f>
        <v/>
      </c>
      <c r="K609" s="86"/>
      <c r="L609" s="293"/>
    </row>
    <row r="610" spans="1:12" s="141" customFormat="1" ht="10.5" customHeight="1">
      <c r="A610" s="78">
        <f>VLOOKUP(E610,Dim_Colegiado[],2,FALSE)</f>
        <v>16</v>
      </c>
      <c r="B610" s="67" t="str">
        <f t="shared" si="9"/>
        <v>2019</v>
      </c>
      <c r="C610" s="74" t="s">
        <v>760</v>
      </c>
      <c r="D610" s="68" t="s">
        <v>408</v>
      </c>
      <c r="E610" s="68" t="s">
        <v>299</v>
      </c>
      <c r="F610" s="92">
        <v>293376.40000000002</v>
      </c>
      <c r="G610" s="82" t="s">
        <v>101</v>
      </c>
      <c r="H610" s="72" t="s">
        <v>123</v>
      </c>
      <c r="I610" s="95"/>
      <c r="J610" s="95" t="str">
        <f>LEFT(empreend_Fehidro[[#This Row],[suBpdc classifc]],1)</f>
        <v/>
      </c>
      <c r="K610" s="86"/>
      <c r="L610" s="293"/>
    </row>
    <row r="611" spans="1:12" s="141" customFormat="1" ht="10.5" customHeight="1">
      <c r="A611" s="89">
        <f>VLOOKUP(E611,Dim_Colegiado[],2,FALSE)</f>
        <v>16</v>
      </c>
      <c r="B611" s="90" t="str">
        <f t="shared" si="9"/>
        <v>2019</v>
      </c>
      <c r="C611" s="75" t="s">
        <v>761</v>
      </c>
      <c r="D611" s="91" t="s">
        <v>408</v>
      </c>
      <c r="E611" s="91" t="s">
        <v>299</v>
      </c>
      <c r="F611" s="88">
        <v>133522.93</v>
      </c>
      <c r="G611" s="82" t="s">
        <v>101</v>
      </c>
      <c r="H611" s="72" t="s">
        <v>123</v>
      </c>
      <c r="I611" s="91"/>
      <c r="J611" s="91" t="str">
        <f>LEFT(empreend_Fehidro[[#This Row],[suBpdc classifc]],1)</f>
        <v/>
      </c>
      <c r="K611" s="86"/>
      <c r="L611" s="293"/>
    </row>
    <row r="612" spans="1:12" s="141" customFormat="1" ht="10.5" customHeight="1">
      <c r="A612" s="93">
        <f>VLOOKUP(E612,Dim_Colegiado[],2,FALSE)</f>
        <v>17</v>
      </c>
      <c r="B612" s="94" t="str">
        <f t="shared" si="9"/>
        <v>2019</v>
      </c>
      <c r="C612" s="76" t="s">
        <v>762</v>
      </c>
      <c r="D612" s="95" t="s">
        <v>683</v>
      </c>
      <c r="E612" s="95" t="s">
        <v>310</v>
      </c>
      <c r="F612" s="92">
        <v>303302.81</v>
      </c>
      <c r="G612" s="82" t="s">
        <v>101</v>
      </c>
      <c r="H612" s="72" t="s">
        <v>123</v>
      </c>
      <c r="I612" s="95"/>
      <c r="J612" s="95" t="str">
        <f>LEFT(empreend_Fehidro[[#This Row],[suBpdc classifc]],1)</f>
        <v/>
      </c>
      <c r="K612" s="86" t="s">
        <v>763</v>
      </c>
      <c r="L612" s="293"/>
    </row>
    <row r="613" spans="1:12" s="141" customFormat="1" ht="10.5" customHeight="1">
      <c r="A613" s="89">
        <f>VLOOKUP(E613,Dim_Colegiado[],2,FALSE)</f>
        <v>17</v>
      </c>
      <c r="B613" s="90" t="str">
        <f t="shared" si="9"/>
        <v>2019</v>
      </c>
      <c r="C613" s="75" t="s">
        <v>764</v>
      </c>
      <c r="D613" s="91" t="s">
        <v>397</v>
      </c>
      <c r="E613" s="91" t="s">
        <v>310</v>
      </c>
      <c r="F613" s="88">
        <v>129186.89</v>
      </c>
      <c r="G613" s="82" t="s">
        <v>101</v>
      </c>
      <c r="H613" s="72" t="s">
        <v>123</v>
      </c>
      <c r="I613" s="91"/>
      <c r="J613" s="91" t="str">
        <f>LEFT(empreend_Fehidro[[#This Row],[suBpdc classifc]],1)</f>
        <v/>
      </c>
      <c r="K613" s="86" t="s">
        <v>763</v>
      </c>
      <c r="L613" s="293"/>
    </row>
    <row r="614" spans="1:12" s="69" customFormat="1" ht="14.4">
      <c r="A614" s="93">
        <f>VLOOKUP(E614,Dim_Colegiado[],2,FALSE)</f>
        <v>17</v>
      </c>
      <c r="B614" s="94" t="str">
        <f t="shared" si="9"/>
        <v>2019</v>
      </c>
      <c r="C614" s="76" t="s">
        <v>765</v>
      </c>
      <c r="D614" s="95" t="s">
        <v>397</v>
      </c>
      <c r="E614" s="95" t="s">
        <v>310</v>
      </c>
      <c r="F614" s="92">
        <v>139249.1</v>
      </c>
      <c r="G614" s="82" t="s">
        <v>101</v>
      </c>
      <c r="H614" s="72" t="s">
        <v>123</v>
      </c>
      <c r="I614" s="95"/>
      <c r="J614" s="95" t="str">
        <f>LEFT(empreend_Fehidro[[#This Row],[suBpdc classifc]],1)</f>
        <v/>
      </c>
      <c r="K614" s="86" t="s">
        <v>763</v>
      </c>
      <c r="L614" s="293"/>
    </row>
    <row r="615" spans="1:12" s="69" customFormat="1" ht="14.4">
      <c r="A615" s="89">
        <f>VLOOKUP(E615,Dim_Colegiado[],2,FALSE)</f>
        <v>17</v>
      </c>
      <c r="B615" s="90" t="str">
        <f t="shared" si="9"/>
        <v>2019</v>
      </c>
      <c r="C615" s="75" t="s">
        <v>766</v>
      </c>
      <c r="D615" s="91" t="s">
        <v>397</v>
      </c>
      <c r="E615" s="91" t="s">
        <v>310</v>
      </c>
      <c r="F615" s="88">
        <v>275000</v>
      </c>
      <c r="G615" s="82" t="s">
        <v>101</v>
      </c>
      <c r="H615" s="72" t="s">
        <v>123</v>
      </c>
      <c r="I615" s="91"/>
      <c r="J615" s="91" t="str">
        <f>LEFT(empreend_Fehidro[[#This Row],[suBpdc classifc]],1)</f>
        <v/>
      </c>
      <c r="K615" s="86" t="s">
        <v>763</v>
      </c>
      <c r="L615" s="293"/>
    </row>
    <row r="616" spans="1:12" s="69" customFormat="1" ht="14.4">
      <c r="A616" s="93">
        <f>VLOOKUP(E616,Dim_Colegiado[],2,FALSE)</f>
        <v>17</v>
      </c>
      <c r="B616" s="94" t="str">
        <f t="shared" si="9"/>
        <v>2019</v>
      </c>
      <c r="C616" s="76" t="s">
        <v>767</v>
      </c>
      <c r="D616" s="95" t="s">
        <v>397</v>
      </c>
      <c r="E616" s="95" t="s">
        <v>310</v>
      </c>
      <c r="F616" s="92">
        <v>279000</v>
      </c>
      <c r="G616" s="82" t="s">
        <v>101</v>
      </c>
      <c r="H616" s="72" t="s">
        <v>123</v>
      </c>
      <c r="I616" s="95"/>
      <c r="J616" s="95" t="str">
        <f>LEFT(empreend_Fehidro[[#This Row],[suBpdc classifc]],1)</f>
        <v/>
      </c>
      <c r="K616" s="86" t="s">
        <v>763</v>
      </c>
      <c r="L616" s="293"/>
    </row>
    <row r="617" spans="1:12" s="69" customFormat="1" ht="14.4">
      <c r="A617" s="89">
        <f>VLOOKUP(E617,Dim_Colegiado[],2,FALSE)</f>
        <v>17</v>
      </c>
      <c r="B617" s="90" t="str">
        <f t="shared" si="9"/>
        <v>2019</v>
      </c>
      <c r="C617" s="75" t="s">
        <v>768</v>
      </c>
      <c r="D617" s="91" t="s">
        <v>397</v>
      </c>
      <c r="E617" s="91" t="s">
        <v>310</v>
      </c>
      <c r="F617" s="88">
        <v>605000</v>
      </c>
      <c r="G617" s="82" t="s">
        <v>101</v>
      </c>
      <c r="H617" s="72" t="s">
        <v>123</v>
      </c>
      <c r="I617" s="91"/>
      <c r="J617" s="91" t="str">
        <f>LEFT(empreend_Fehidro[[#This Row],[suBpdc classifc]],1)</f>
        <v/>
      </c>
      <c r="K617" s="86" t="s">
        <v>763</v>
      </c>
      <c r="L617" s="293"/>
    </row>
    <row r="618" spans="1:12" s="69" customFormat="1" ht="14.4">
      <c r="A618" s="93">
        <f>VLOOKUP(E618,Dim_Colegiado[],2,FALSE)</f>
        <v>17</v>
      </c>
      <c r="B618" s="94" t="str">
        <f t="shared" si="9"/>
        <v>2019</v>
      </c>
      <c r="C618" s="76" t="s">
        <v>769</v>
      </c>
      <c r="D618" s="95" t="s">
        <v>397</v>
      </c>
      <c r="E618" s="95" t="s">
        <v>310</v>
      </c>
      <c r="F618" s="92">
        <v>117480</v>
      </c>
      <c r="G618" s="82" t="s">
        <v>101</v>
      </c>
      <c r="H618" s="72" t="s">
        <v>123</v>
      </c>
      <c r="I618" s="95"/>
      <c r="J618" s="95" t="str">
        <f>LEFT(empreend_Fehidro[[#This Row],[suBpdc classifc]],1)</f>
        <v/>
      </c>
      <c r="K618" s="86" t="s">
        <v>763</v>
      </c>
      <c r="L618" s="293"/>
    </row>
    <row r="619" spans="1:12" s="69" customFormat="1" ht="14.4">
      <c r="A619" s="89">
        <f>VLOOKUP(E619,Dim_Colegiado[],2,FALSE)</f>
        <v>17</v>
      </c>
      <c r="B619" s="90" t="str">
        <f t="shared" si="9"/>
        <v>2019</v>
      </c>
      <c r="C619" s="75" t="s">
        <v>770</v>
      </c>
      <c r="D619" s="91" t="s">
        <v>397</v>
      </c>
      <c r="E619" s="91" t="s">
        <v>310</v>
      </c>
      <c r="F619" s="88">
        <v>156321.41</v>
      </c>
      <c r="G619" s="82" t="s">
        <v>101</v>
      </c>
      <c r="H619" s="72" t="s">
        <v>123</v>
      </c>
      <c r="I619" s="91"/>
      <c r="J619" s="91" t="str">
        <f>LEFT(empreend_Fehidro[[#This Row],[suBpdc classifc]],1)</f>
        <v/>
      </c>
      <c r="K619" s="86" t="s">
        <v>763</v>
      </c>
      <c r="L619" s="293"/>
    </row>
    <row r="620" spans="1:12" s="69" customFormat="1" ht="14.4">
      <c r="A620" s="93">
        <f>VLOOKUP(E620,Dim_Colegiado[],2,FALSE)</f>
        <v>17</v>
      </c>
      <c r="B620" s="94" t="str">
        <f t="shared" si="9"/>
        <v>2019</v>
      </c>
      <c r="C620" s="76" t="s">
        <v>771</v>
      </c>
      <c r="D620" s="95" t="s">
        <v>397</v>
      </c>
      <c r="E620" s="95" t="s">
        <v>310</v>
      </c>
      <c r="F620" s="92">
        <v>238038.89</v>
      </c>
      <c r="G620" s="82" t="s">
        <v>101</v>
      </c>
      <c r="H620" s="72" t="s">
        <v>123</v>
      </c>
      <c r="I620" s="95"/>
      <c r="J620" s="95" t="str">
        <f>LEFT(empreend_Fehidro[[#This Row],[suBpdc classifc]],1)</f>
        <v/>
      </c>
      <c r="K620" s="86" t="s">
        <v>763</v>
      </c>
      <c r="L620" s="293"/>
    </row>
    <row r="621" spans="1:12" s="69" customFormat="1" ht="14.4">
      <c r="A621" s="89">
        <f>VLOOKUP(E621,Dim_Colegiado[],2,FALSE)</f>
        <v>17</v>
      </c>
      <c r="B621" s="90" t="str">
        <f t="shared" si="9"/>
        <v>2019</v>
      </c>
      <c r="C621" s="75" t="s">
        <v>772</v>
      </c>
      <c r="D621" s="91" t="s">
        <v>397</v>
      </c>
      <c r="E621" s="91" t="s">
        <v>310</v>
      </c>
      <c r="F621" s="88">
        <v>269437.52</v>
      </c>
      <c r="G621" s="82" t="s">
        <v>101</v>
      </c>
      <c r="H621" s="72" t="s">
        <v>123</v>
      </c>
      <c r="I621" s="91"/>
      <c r="J621" s="91" t="str">
        <f>LEFT(empreend_Fehidro[[#This Row],[suBpdc classifc]],1)</f>
        <v/>
      </c>
      <c r="K621" s="86" t="s">
        <v>763</v>
      </c>
      <c r="L621" s="293"/>
    </row>
    <row r="622" spans="1:12" s="69" customFormat="1" ht="14.4">
      <c r="A622" s="93">
        <f>VLOOKUP(E622,Dim_Colegiado[],2,FALSE)</f>
        <v>17</v>
      </c>
      <c r="B622" s="94" t="str">
        <f t="shared" si="9"/>
        <v>2019</v>
      </c>
      <c r="C622" s="76" t="s">
        <v>773</v>
      </c>
      <c r="D622" s="95" t="s">
        <v>397</v>
      </c>
      <c r="E622" s="95" t="s">
        <v>310</v>
      </c>
      <c r="F622" s="92">
        <v>307970.09000000003</v>
      </c>
      <c r="G622" s="82" t="s">
        <v>101</v>
      </c>
      <c r="H622" s="72" t="s">
        <v>123</v>
      </c>
      <c r="I622" s="95"/>
      <c r="J622" s="95" t="str">
        <f>LEFT(empreend_Fehidro[[#This Row],[suBpdc classifc]],1)</f>
        <v/>
      </c>
      <c r="K622" s="86" t="s">
        <v>763</v>
      </c>
      <c r="L622" s="293"/>
    </row>
    <row r="623" spans="1:12" s="69" customFormat="1" ht="14.4">
      <c r="A623" s="89">
        <f>VLOOKUP(E623,Dim_Colegiado[],2,FALSE)</f>
        <v>17</v>
      </c>
      <c r="B623" s="90" t="str">
        <f t="shared" si="9"/>
        <v>2019</v>
      </c>
      <c r="C623" s="75" t="s">
        <v>774</v>
      </c>
      <c r="D623" s="91" t="s">
        <v>397</v>
      </c>
      <c r="E623" s="91" t="s">
        <v>310</v>
      </c>
      <c r="F623" s="88">
        <v>316476.63</v>
      </c>
      <c r="G623" s="82" t="s">
        <v>101</v>
      </c>
      <c r="H623" s="72" t="s">
        <v>123</v>
      </c>
      <c r="I623" s="91"/>
      <c r="J623" s="91" t="str">
        <f>LEFT(empreend_Fehidro[[#This Row],[suBpdc classifc]],1)</f>
        <v/>
      </c>
      <c r="K623" s="86" t="s">
        <v>763</v>
      </c>
      <c r="L623" s="293"/>
    </row>
    <row r="624" spans="1:12" s="69" customFormat="1" ht="14.4">
      <c r="A624" s="93">
        <f>VLOOKUP(E624,Dim_Colegiado[],2,FALSE)</f>
        <v>17</v>
      </c>
      <c r="B624" s="94" t="str">
        <f t="shared" si="9"/>
        <v>2019</v>
      </c>
      <c r="C624" s="76" t="s">
        <v>775</v>
      </c>
      <c r="D624" s="95" t="s">
        <v>397</v>
      </c>
      <c r="E624" s="95" t="s">
        <v>310</v>
      </c>
      <c r="F624" s="92">
        <v>388643.68</v>
      </c>
      <c r="G624" s="82" t="s">
        <v>101</v>
      </c>
      <c r="H624" s="72" t="s">
        <v>123</v>
      </c>
      <c r="I624" s="95"/>
      <c r="J624" s="95" t="str">
        <f>LEFT(empreend_Fehidro[[#This Row],[suBpdc classifc]],1)</f>
        <v/>
      </c>
      <c r="K624" s="86" t="s">
        <v>763</v>
      </c>
      <c r="L624" s="293"/>
    </row>
    <row r="625" spans="1:12" s="69" customFormat="1" ht="14.4">
      <c r="A625" s="89">
        <f>VLOOKUP(E625,Dim_Colegiado[],2,FALSE)</f>
        <v>17</v>
      </c>
      <c r="B625" s="90" t="str">
        <f t="shared" si="9"/>
        <v>2019</v>
      </c>
      <c r="C625" s="75" t="s">
        <v>776</v>
      </c>
      <c r="D625" s="91" t="s">
        <v>397</v>
      </c>
      <c r="E625" s="91" t="s">
        <v>310</v>
      </c>
      <c r="F625" s="88">
        <v>391179.15</v>
      </c>
      <c r="G625" s="82" t="s">
        <v>101</v>
      </c>
      <c r="H625" s="72" t="s">
        <v>123</v>
      </c>
      <c r="I625" s="91"/>
      <c r="J625" s="91" t="str">
        <f>LEFT(empreend_Fehidro[[#This Row],[suBpdc classifc]],1)</f>
        <v/>
      </c>
      <c r="K625" s="86" t="s">
        <v>763</v>
      </c>
      <c r="L625" s="293"/>
    </row>
    <row r="626" spans="1:12" s="69" customFormat="1" ht="14.4">
      <c r="A626" s="93">
        <f>VLOOKUP(E626,Dim_Colegiado[],2,FALSE)</f>
        <v>17</v>
      </c>
      <c r="B626" s="94" t="str">
        <f t="shared" si="9"/>
        <v>2019</v>
      </c>
      <c r="C626" s="76" t="s">
        <v>777</v>
      </c>
      <c r="D626" s="95" t="s">
        <v>408</v>
      </c>
      <c r="E626" s="95" t="s">
        <v>310</v>
      </c>
      <c r="F626" s="92">
        <v>112959.56</v>
      </c>
      <c r="G626" s="82" t="s">
        <v>101</v>
      </c>
      <c r="H626" s="72" t="s">
        <v>123</v>
      </c>
      <c r="I626" s="95"/>
      <c r="J626" s="95" t="str">
        <f>LEFT(empreend_Fehidro[[#This Row],[suBpdc classifc]],1)</f>
        <v/>
      </c>
      <c r="K626" s="86" t="s">
        <v>763</v>
      </c>
      <c r="L626" s="293"/>
    </row>
    <row r="627" spans="1:12" s="69" customFormat="1" ht="14.4">
      <c r="A627" s="89">
        <f>VLOOKUP(E627,Dim_Colegiado[],2,FALSE)</f>
        <v>17</v>
      </c>
      <c r="B627" s="90" t="str">
        <f t="shared" si="9"/>
        <v>2019</v>
      </c>
      <c r="C627" s="75" t="s">
        <v>778</v>
      </c>
      <c r="D627" s="91" t="s">
        <v>408</v>
      </c>
      <c r="E627" s="91" t="s">
        <v>310</v>
      </c>
      <c r="F627" s="88">
        <v>120501.42</v>
      </c>
      <c r="G627" s="82" t="s">
        <v>101</v>
      </c>
      <c r="H627" s="72" t="s">
        <v>123</v>
      </c>
      <c r="I627" s="91"/>
      <c r="J627" s="91" t="str">
        <f>LEFT(empreend_Fehidro[[#This Row],[suBpdc classifc]],1)</f>
        <v/>
      </c>
      <c r="K627" s="86" t="s">
        <v>763</v>
      </c>
      <c r="L627" s="293"/>
    </row>
    <row r="628" spans="1:12" s="141" customFormat="1" ht="10.5" customHeight="1">
      <c r="A628" s="93">
        <f>VLOOKUP(E628,Dim_Colegiado[],2,FALSE)</f>
        <v>17</v>
      </c>
      <c r="B628" s="94" t="str">
        <f t="shared" si="9"/>
        <v>2019</v>
      </c>
      <c r="C628" s="76" t="s">
        <v>779</v>
      </c>
      <c r="D628" s="95" t="s">
        <v>408</v>
      </c>
      <c r="E628" s="95" t="s">
        <v>310</v>
      </c>
      <c r="F628" s="92">
        <v>123270.08</v>
      </c>
      <c r="G628" s="82" t="s">
        <v>101</v>
      </c>
      <c r="H628" s="72" t="s">
        <v>123</v>
      </c>
      <c r="I628" s="95"/>
      <c r="J628" s="95" t="str">
        <f>LEFT(empreend_Fehidro[[#This Row],[suBpdc classifc]],1)</f>
        <v/>
      </c>
      <c r="K628" s="86" t="s">
        <v>763</v>
      </c>
      <c r="L628" s="293"/>
    </row>
    <row r="629" spans="1:12" s="141" customFormat="1" ht="10.5" customHeight="1">
      <c r="A629" s="89">
        <f>VLOOKUP(E629,Dim_Colegiado[],2,FALSE)</f>
        <v>17</v>
      </c>
      <c r="B629" s="90" t="str">
        <f t="shared" si="9"/>
        <v>2019</v>
      </c>
      <c r="C629" s="75" t="s">
        <v>780</v>
      </c>
      <c r="D629" s="91" t="s">
        <v>408</v>
      </c>
      <c r="E629" s="91" t="s">
        <v>310</v>
      </c>
      <c r="F629" s="88">
        <v>136258.31</v>
      </c>
      <c r="G629" s="82" t="s">
        <v>101</v>
      </c>
      <c r="H629" s="72" t="s">
        <v>123</v>
      </c>
      <c r="I629" s="91"/>
      <c r="J629" s="91" t="str">
        <f>LEFT(empreend_Fehidro[[#This Row],[suBpdc classifc]],1)</f>
        <v/>
      </c>
      <c r="K629" s="86" t="s">
        <v>763</v>
      </c>
      <c r="L629" s="293"/>
    </row>
    <row r="630" spans="1:12" s="141" customFormat="1" ht="10.5" customHeight="1">
      <c r="A630" s="93">
        <f>VLOOKUP(E630,Dim_Colegiado[],2,FALSE)</f>
        <v>17</v>
      </c>
      <c r="B630" s="94" t="str">
        <f t="shared" si="9"/>
        <v>2019</v>
      </c>
      <c r="C630" s="76" t="s">
        <v>781</v>
      </c>
      <c r="D630" s="95" t="s">
        <v>408</v>
      </c>
      <c r="E630" s="95" t="s">
        <v>310</v>
      </c>
      <c r="F630" s="92">
        <v>142278.1</v>
      </c>
      <c r="G630" s="82" t="s">
        <v>101</v>
      </c>
      <c r="H630" s="72" t="s">
        <v>123</v>
      </c>
      <c r="I630" s="95"/>
      <c r="J630" s="95" t="str">
        <f>LEFT(empreend_Fehidro[[#This Row],[suBpdc classifc]],1)</f>
        <v/>
      </c>
      <c r="K630" s="86" t="s">
        <v>763</v>
      </c>
      <c r="L630" s="293"/>
    </row>
    <row r="631" spans="1:12" s="141" customFormat="1" ht="10.5" customHeight="1">
      <c r="A631" s="89">
        <f>VLOOKUP(E631,Dim_Colegiado[],2,FALSE)</f>
        <v>17</v>
      </c>
      <c r="B631" s="90" t="str">
        <f t="shared" si="9"/>
        <v>2019</v>
      </c>
      <c r="C631" s="75" t="s">
        <v>782</v>
      </c>
      <c r="D631" s="91" t="s">
        <v>408</v>
      </c>
      <c r="E631" s="91" t="s">
        <v>310</v>
      </c>
      <c r="F631" s="88">
        <v>253490.56</v>
      </c>
      <c r="G631" s="82" t="s">
        <v>101</v>
      </c>
      <c r="H631" s="72" t="s">
        <v>123</v>
      </c>
      <c r="I631" s="91"/>
      <c r="J631" s="91" t="str">
        <f>LEFT(empreend_Fehidro[[#This Row],[suBpdc classifc]],1)</f>
        <v/>
      </c>
      <c r="K631" s="86" t="s">
        <v>763</v>
      </c>
      <c r="L631" s="293"/>
    </row>
    <row r="632" spans="1:12" s="141" customFormat="1" ht="10.5" customHeight="1">
      <c r="A632" s="93">
        <f>VLOOKUP(E632,Dim_Colegiado[],2,FALSE)</f>
        <v>18</v>
      </c>
      <c r="B632" s="94" t="str">
        <f t="shared" si="9"/>
        <v>2019</v>
      </c>
      <c r="C632" s="76" t="s">
        <v>783</v>
      </c>
      <c r="D632" s="95" t="s">
        <v>411</v>
      </c>
      <c r="E632" s="95" t="s">
        <v>319</v>
      </c>
      <c r="F632" s="92">
        <v>97254.43</v>
      </c>
      <c r="G632" s="82" t="s">
        <v>101</v>
      </c>
      <c r="H632" s="72" t="s">
        <v>123</v>
      </c>
      <c r="I632" s="95"/>
      <c r="J632" s="95" t="str">
        <f>LEFT(empreend_Fehidro[[#This Row],[suBpdc classifc]],1)</f>
        <v/>
      </c>
      <c r="K632" s="85" t="s">
        <v>763</v>
      </c>
      <c r="L632" s="293"/>
    </row>
    <row r="633" spans="1:12" s="141" customFormat="1" ht="10.5" customHeight="1">
      <c r="A633" s="89">
        <f>VLOOKUP(E633,Dim_Colegiado[],2,FALSE)</f>
        <v>18</v>
      </c>
      <c r="B633" s="90" t="str">
        <f t="shared" si="9"/>
        <v>2019</v>
      </c>
      <c r="C633" s="75" t="s">
        <v>784</v>
      </c>
      <c r="D633" s="91" t="s">
        <v>397</v>
      </c>
      <c r="E633" s="91" t="s">
        <v>319</v>
      </c>
      <c r="F633" s="88">
        <v>144529.99</v>
      </c>
      <c r="G633" s="82" t="s">
        <v>101</v>
      </c>
      <c r="H633" s="72" t="s">
        <v>123</v>
      </c>
      <c r="I633" s="91"/>
      <c r="J633" s="91" t="str">
        <f>LEFT(empreend_Fehidro[[#This Row],[suBpdc classifc]],1)</f>
        <v/>
      </c>
      <c r="K633" s="85" t="s">
        <v>763</v>
      </c>
      <c r="L633" s="293"/>
    </row>
    <row r="634" spans="1:12" s="141" customFormat="1" ht="10.5" customHeight="1">
      <c r="A634" s="93">
        <f>VLOOKUP(E634,Dim_Colegiado[],2,FALSE)</f>
        <v>18</v>
      </c>
      <c r="B634" s="94" t="str">
        <f t="shared" si="9"/>
        <v>2019</v>
      </c>
      <c r="C634" s="76" t="s">
        <v>785</v>
      </c>
      <c r="D634" s="95" t="s">
        <v>397</v>
      </c>
      <c r="E634" s="95" t="s">
        <v>319</v>
      </c>
      <c r="F634" s="92">
        <v>222723.17</v>
      </c>
      <c r="G634" s="82" t="s">
        <v>101</v>
      </c>
      <c r="H634" s="72" t="s">
        <v>123</v>
      </c>
      <c r="I634" s="95"/>
      <c r="J634" s="95" t="str">
        <f>LEFT(empreend_Fehidro[[#This Row],[suBpdc classifc]],1)</f>
        <v/>
      </c>
      <c r="K634" s="85" t="s">
        <v>763</v>
      </c>
      <c r="L634" s="293"/>
    </row>
    <row r="635" spans="1:12" s="141" customFormat="1" ht="10.5" customHeight="1">
      <c r="A635" s="89">
        <f>VLOOKUP(E635,Dim_Colegiado[],2,FALSE)</f>
        <v>18</v>
      </c>
      <c r="B635" s="90" t="str">
        <f t="shared" si="9"/>
        <v>2019</v>
      </c>
      <c r="C635" s="75" t="s">
        <v>786</v>
      </c>
      <c r="D635" s="91" t="s">
        <v>397</v>
      </c>
      <c r="E635" s="91" t="s">
        <v>319</v>
      </c>
      <c r="F635" s="88">
        <v>315624.13</v>
      </c>
      <c r="G635" s="82" t="s">
        <v>101</v>
      </c>
      <c r="H635" s="72" t="s">
        <v>123</v>
      </c>
      <c r="I635" s="91"/>
      <c r="J635" s="91" t="str">
        <f>LEFT(empreend_Fehidro[[#This Row],[suBpdc classifc]],1)</f>
        <v/>
      </c>
      <c r="K635" s="85" t="s">
        <v>763</v>
      </c>
      <c r="L635" s="293"/>
    </row>
    <row r="636" spans="1:12" s="141" customFormat="1" ht="10.5" customHeight="1">
      <c r="A636" s="93">
        <f>VLOOKUP(E636,Dim_Colegiado[],2,FALSE)</f>
        <v>18</v>
      </c>
      <c r="B636" s="94" t="str">
        <f t="shared" si="9"/>
        <v>2019</v>
      </c>
      <c r="C636" s="76" t="s">
        <v>787</v>
      </c>
      <c r="D636" s="95" t="s">
        <v>397</v>
      </c>
      <c r="E636" s="95" t="s">
        <v>319</v>
      </c>
      <c r="F636" s="92">
        <v>369823.6</v>
      </c>
      <c r="G636" s="82" t="s">
        <v>101</v>
      </c>
      <c r="H636" s="72" t="s">
        <v>123</v>
      </c>
      <c r="I636" s="95"/>
      <c r="J636" s="95" t="str">
        <f>LEFT(empreend_Fehidro[[#This Row],[suBpdc classifc]],1)</f>
        <v/>
      </c>
      <c r="K636" s="85" t="s">
        <v>763</v>
      </c>
      <c r="L636" s="293"/>
    </row>
    <row r="637" spans="1:12" s="69" customFormat="1" ht="14.4">
      <c r="A637" s="89">
        <f>VLOOKUP(E637,Dim_Colegiado[],2,FALSE)</f>
        <v>18</v>
      </c>
      <c r="B637" s="90" t="str">
        <f t="shared" si="9"/>
        <v>2019</v>
      </c>
      <c r="C637" s="75" t="s">
        <v>788</v>
      </c>
      <c r="D637" s="91" t="s">
        <v>408</v>
      </c>
      <c r="E637" s="91" t="s">
        <v>319</v>
      </c>
      <c r="F637" s="88">
        <v>56700</v>
      </c>
      <c r="G637" s="82" t="s">
        <v>101</v>
      </c>
      <c r="H637" s="72" t="s">
        <v>123</v>
      </c>
      <c r="I637" s="91"/>
      <c r="J637" s="91" t="str">
        <f>LEFT(empreend_Fehidro[[#This Row],[suBpdc classifc]],1)</f>
        <v/>
      </c>
      <c r="K637" s="85" t="s">
        <v>763</v>
      </c>
      <c r="L637" s="293"/>
    </row>
    <row r="638" spans="1:12" s="69" customFormat="1" ht="14.4">
      <c r="A638" s="93">
        <f>VLOOKUP(E638,Dim_Colegiado[],2,FALSE)</f>
        <v>18</v>
      </c>
      <c r="B638" s="94" t="str">
        <f t="shared" si="9"/>
        <v>2019</v>
      </c>
      <c r="C638" s="76" t="s">
        <v>789</v>
      </c>
      <c r="D638" s="95" t="s">
        <v>408</v>
      </c>
      <c r="E638" s="95" t="s">
        <v>319</v>
      </c>
      <c r="F638" s="92">
        <v>336198.64</v>
      </c>
      <c r="G638" s="82" t="s">
        <v>101</v>
      </c>
      <c r="H638" s="72" t="s">
        <v>123</v>
      </c>
      <c r="I638" s="95"/>
      <c r="J638" s="95" t="str">
        <f>LEFT(empreend_Fehidro[[#This Row],[suBpdc classifc]],1)</f>
        <v/>
      </c>
      <c r="K638" s="85" t="s">
        <v>763</v>
      </c>
      <c r="L638" s="293"/>
    </row>
    <row r="639" spans="1:12" s="69" customFormat="1" ht="14.4">
      <c r="A639" s="89">
        <f>VLOOKUP(E639,Dim_Colegiado[],2,FALSE)</f>
        <v>18</v>
      </c>
      <c r="B639" s="90" t="str">
        <f t="shared" si="9"/>
        <v>2019</v>
      </c>
      <c r="C639" s="75" t="s">
        <v>790</v>
      </c>
      <c r="D639" s="91" t="s">
        <v>408</v>
      </c>
      <c r="E639" s="91" t="s">
        <v>319</v>
      </c>
      <c r="F639" s="88">
        <v>400000</v>
      </c>
      <c r="G639" s="82" t="s">
        <v>101</v>
      </c>
      <c r="H639" s="72" t="s">
        <v>123</v>
      </c>
      <c r="I639" s="91"/>
      <c r="J639" s="91" t="str">
        <f>LEFT(empreend_Fehidro[[#This Row],[suBpdc classifc]],1)</f>
        <v/>
      </c>
      <c r="K639" s="85" t="s">
        <v>763</v>
      </c>
      <c r="L639" s="293"/>
    </row>
    <row r="640" spans="1:12" s="69" customFormat="1" ht="14.4">
      <c r="A640" s="89">
        <f>VLOOKUP(E640,Dim_Colegiado[],2,FALSE)</f>
        <v>19</v>
      </c>
      <c r="B640" s="90" t="str">
        <f t="shared" si="9"/>
        <v>2019</v>
      </c>
      <c r="C640" s="75" t="s">
        <v>791</v>
      </c>
      <c r="D640" s="91" t="s">
        <v>411</v>
      </c>
      <c r="E640" s="91" t="s">
        <v>321</v>
      </c>
      <c r="F640" s="88">
        <v>459887.08</v>
      </c>
      <c r="G640" s="82" t="s">
        <v>101</v>
      </c>
      <c r="H640" s="72" t="s">
        <v>123</v>
      </c>
      <c r="I640" s="91"/>
      <c r="J640" s="91" t="str">
        <f>LEFT(empreend_Fehidro[[#This Row],[suBpdc classifc]],1)</f>
        <v/>
      </c>
      <c r="K640" s="85"/>
      <c r="L640" s="293"/>
    </row>
    <row r="641" spans="1:12" s="69" customFormat="1" ht="14.4">
      <c r="A641" s="78">
        <f>VLOOKUP(E641,Dim_Colegiado[],2,FALSE)</f>
        <v>19</v>
      </c>
      <c r="B641" s="67" t="str">
        <f t="shared" si="9"/>
        <v>2019</v>
      </c>
      <c r="C641" s="74" t="s">
        <v>792</v>
      </c>
      <c r="D641" s="68" t="s">
        <v>411</v>
      </c>
      <c r="E641" s="68" t="s">
        <v>321</v>
      </c>
      <c r="F641" s="92">
        <v>600000</v>
      </c>
      <c r="G641" s="82" t="s">
        <v>101</v>
      </c>
      <c r="H641" s="72" t="s">
        <v>123</v>
      </c>
      <c r="I641" s="95"/>
      <c r="J641" s="95" t="str">
        <f>LEFT(empreend_Fehidro[[#This Row],[suBpdc classifc]],1)</f>
        <v/>
      </c>
      <c r="K641" s="85"/>
      <c r="L641" s="293"/>
    </row>
    <row r="642" spans="1:12" s="69" customFormat="1" ht="14.4">
      <c r="A642" s="89">
        <f>VLOOKUP(E642,Dim_Colegiado[],2,FALSE)</f>
        <v>19</v>
      </c>
      <c r="B642" s="90" t="str">
        <f t="shared" ref="B642:B702" si="10">LEFT(C642,4)</f>
        <v>2019</v>
      </c>
      <c r="C642" s="75" t="s">
        <v>793</v>
      </c>
      <c r="D642" s="91" t="s">
        <v>411</v>
      </c>
      <c r="E642" s="91" t="s">
        <v>321</v>
      </c>
      <c r="F642" s="88">
        <v>44098.04</v>
      </c>
      <c r="G642" s="82" t="s">
        <v>101</v>
      </c>
      <c r="H642" s="72" t="s">
        <v>123</v>
      </c>
      <c r="I642" s="91"/>
      <c r="J642" s="91" t="str">
        <f>LEFT(empreend_Fehidro[[#This Row],[suBpdc classifc]],1)</f>
        <v/>
      </c>
      <c r="K642" s="85"/>
      <c r="L642" s="293"/>
    </row>
    <row r="643" spans="1:12" s="69" customFormat="1" ht="14.4">
      <c r="A643" s="78">
        <f>VLOOKUP(E643,Dim_Colegiado[],2,FALSE)</f>
        <v>19</v>
      </c>
      <c r="B643" s="67" t="str">
        <f t="shared" si="10"/>
        <v>2019</v>
      </c>
      <c r="C643" s="74" t="s">
        <v>794</v>
      </c>
      <c r="D643" s="68" t="s">
        <v>683</v>
      </c>
      <c r="E643" s="68" t="s">
        <v>321</v>
      </c>
      <c r="F643" s="92">
        <v>558522.47</v>
      </c>
      <c r="G643" s="82" t="s">
        <v>101</v>
      </c>
      <c r="H643" s="72" t="s">
        <v>123</v>
      </c>
      <c r="I643" s="95"/>
      <c r="J643" s="95" t="str">
        <f>LEFT(empreend_Fehidro[[#This Row],[suBpdc classifc]],1)</f>
        <v/>
      </c>
      <c r="K643" s="85"/>
      <c r="L643" s="293"/>
    </row>
    <row r="644" spans="1:12" s="69" customFormat="1" ht="14.4">
      <c r="A644" s="89">
        <f>VLOOKUP(E644,Dim_Colegiado[],2,FALSE)</f>
        <v>19</v>
      </c>
      <c r="B644" s="90" t="str">
        <f t="shared" si="10"/>
        <v>2019</v>
      </c>
      <c r="C644" s="75" t="s">
        <v>795</v>
      </c>
      <c r="D644" s="91" t="s">
        <v>397</v>
      </c>
      <c r="E644" s="91" t="s">
        <v>321</v>
      </c>
      <c r="F644" s="88">
        <v>583000.62</v>
      </c>
      <c r="G644" s="82" t="s">
        <v>101</v>
      </c>
      <c r="H644" s="72" t="s">
        <v>123</v>
      </c>
      <c r="I644" s="91"/>
      <c r="J644" s="91" t="str">
        <f>LEFT(empreend_Fehidro[[#This Row],[suBpdc classifc]],1)</f>
        <v/>
      </c>
      <c r="K644" s="85"/>
      <c r="L644" s="293"/>
    </row>
    <row r="645" spans="1:12" s="69" customFormat="1" ht="14.4">
      <c r="A645" s="78">
        <f>VLOOKUP(E645,Dim_Colegiado[],2,FALSE)</f>
        <v>19</v>
      </c>
      <c r="B645" s="67" t="str">
        <f t="shared" si="10"/>
        <v>2019</v>
      </c>
      <c r="C645" s="74" t="s">
        <v>796</v>
      </c>
      <c r="D645" s="68" t="s">
        <v>397</v>
      </c>
      <c r="E645" s="68" t="s">
        <v>321</v>
      </c>
      <c r="F645" s="92">
        <v>89913.51</v>
      </c>
      <c r="G645" s="82" t="s">
        <v>101</v>
      </c>
      <c r="H645" s="72" t="s">
        <v>123</v>
      </c>
      <c r="I645" s="95"/>
      <c r="J645" s="95" t="str">
        <f>LEFT(empreend_Fehidro[[#This Row],[suBpdc classifc]],1)</f>
        <v/>
      </c>
      <c r="K645" s="85"/>
      <c r="L645" s="293"/>
    </row>
    <row r="646" spans="1:12" s="69" customFormat="1" ht="14.4">
      <c r="A646" s="89">
        <f>VLOOKUP(E646,Dim_Colegiado[],2,FALSE)</f>
        <v>19</v>
      </c>
      <c r="B646" s="90" t="str">
        <f t="shared" si="10"/>
        <v>2019</v>
      </c>
      <c r="C646" s="75" t="s">
        <v>797</v>
      </c>
      <c r="D646" s="91" t="s">
        <v>397</v>
      </c>
      <c r="E646" s="91" t="s">
        <v>321</v>
      </c>
      <c r="F646" s="88">
        <v>115100</v>
      </c>
      <c r="G646" s="82" t="s">
        <v>101</v>
      </c>
      <c r="H646" s="72" t="s">
        <v>123</v>
      </c>
      <c r="I646" s="91"/>
      <c r="J646" s="91" t="str">
        <f>LEFT(empreend_Fehidro[[#This Row],[suBpdc classifc]],1)</f>
        <v/>
      </c>
      <c r="K646" s="85"/>
      <c r="L646" s="293"/>
    </row>
    <row r="647" spans="1:12" s="69" customFormat="1" ht="14.4">
      <c r="A647" s="78">
        <f>VLOOKUP(E647,Dim_Colegiado[],2,FALSE)</f>
        <v>19</v>
      </c>
      <c r="B647" s="67" t="str">
        <f t="shared" si="10"/>
        <v>2019</v>
      </c>
      <c r="C647" s="74" t="s">
        <v>798</v>
      </c>
      <c r="D647" s="68" t="s">
        <v>397</v>
      </c>
      <c r="E647" s="68" t="s">
        <v>321</v>
      </c>
      <c r="F647" s="92">
        <v>167152.89000000001</v>
      </c>
      <c r="G647" s="82" t="s">
        <v>101</v>
      </c>
      <c r="H647" s="72" t="s">
        <v>123</v>
      </c>
      <c r="I647" s="95"/>
      <c r="J647" s="95" t="str">
        <f>LEFT(empreend_Fehidro[[#This Row],[suBpdc classifc]],1)</f>
        <v/>
      </c>
      <c r="K647" s="85"/>
      <c r="L647" s="293"/>
    </row>
    <row r="648" spans="1:12" s="69" customFormat="1" ht="14.4">
      <c r="A648" s="89">
        <f>VLOOKUP(E648,Dim_Colegiado[],2,FALSE)</f>
        <v>19</v>
      </c>
      <c r="B648" s="90" t="str">
        <f t="shared" si="10"/>
        <v>2019</v>
      </c>
      <c r="C648" s="75" t="s">
        <v>799</v>
      </c>
      <c r="D648" s="91" t="s">
        <v>397</v>
      </c>
      <c r="E648" s="91" t="s">
        <v>321</v>
      </c>
      <c r="F648" s="88">
        <v>182693.18</v>
      </c>
      <c r="G648" s="82" t="s">
        <v>101</v>
      </c>
      <c r="H648" s="72" t="s">
        <v>123</v>
      </c>
      <c r="I648" s="91"/>
      <c r="J648" s="91" t="str">
        <f>LEFT(empreend_Fehidro[[#This Row],[suBpdc classifc]],1)</f>
        <v/>
      </c>
      <c r="K648" s="85"/>
      <c r="L648" s="293"/>
    </row>
    <row r="649" spans="1:12" s="69" customFormat="1" ht="14.4">
      <c r="A649" s="78">
        <f>VLOOKUP(E649,Dim_Colegiado[],2,FALSE)</f>
        <v>19</v>
      </c>
      <c r="B649" s="67" t="str">
        <f t="shared" si="10"/>
        <v>2019</v>
      </c>
      <c r="C649" s="74" t="s">
        <v>800</v>
      </c>
      <c r="D649" s="68" t="s">
        <v>397</v>
      </c>
      <c r="E649" s="68" t="s">
        <v>321</v>
      </c>
      <c r="F649" s="92">
        <v>189254.22</v>
      </c>
      <c r="G649" s="82" t="s">
        <v>101</v>
      </c>
      <c r="H649" s="72" t="s">
        <v>123</v>
      </c>
      <c r="I649" s="95"/>
      <c r="J649" s="95" t="str">
        <f>LEFT(empreend_Fehidro[[#This Row],[suBpdc classifc]],1)</f>
        <v/>
      </c>
      <c r="K649" s="85"/>
      <c r="L649" s="293"/>
    </row>
    <row r="650" spans="1:12" s="69" customFormat="1" ht="14.4">
      <c r="A650" s="89">
        <f>VLOOKUP(E650,Dim_Colegiado[],2,FALSE)</f>
        <v>19</v>
      </c>
      <c r="B650" s="90" t="str">
        <f t="shared" si="10"/>
        <v>2019</v>
      </c>
      <c r="C650" s="75" t="s">
        <v>801</v>
      </c>
      <c r="D650" s="91" t="s">
        <v>397</v>
      </c>
      <c r="E650" s="91" t="s">
        <v>321</v>
      </c>
      <c r="F650" s="88">
        <v>200000</v>
      </c>
      <c r="G650" s="82" t="s">
        <v>101</v>
      </c>
      <c r="H650" s="72" t="s">
        <v>123</v>
      </c>
      <c r="I650" s="91"/>
      <c r="J650" s="91" t="str">
        <f>LEFT(empreend_Fehidro[[#This Row],[suBpdc classifc]],1)</f>
        <v/>
      </c>
      <c r="K650" s="85"/>
      <c r="L650" s="293"/>
    </row>
    <row r="651" spans="1:12" s="69" customFormat="1" ht="14.4">
      <c r="A651" s="78">
        <f>VLOOKUP(E651,Dim_Colegiado[],2,FALSE)</f>
        <v>19</v>
      </c>
      <c r="B651" s="67" t="str">
        <f t="shared" si="10"/>
        <v>2019</v>
      </c>
      <c r="C651" s="74" t="s">
        <v>802</v>
      </c>
      <c r="D651" s="68" t="s">
        <v>397</v>
      </c>
      <c r="E651" s="68" t="s">
        <v>321</v>
      </c>
      <c r="F651" s="92">
        <v>509556.41</v>
      </c>
      <c r="G651" s="82" t="s">
        <v>101</v>
      </c>
      <c r="H651" s="72" t="s">
        <v>123</v>
      </c>
      <c r="I651" s="95"/>
      <c r="J651" s="95" t="str">
        <f>LEFT(empreend_Fehidro[[#This Row],[suBpdc classifc]],1)</f>
        <v/>
      </c>
      <c r="K651" s="85"/>
      <c r="L651" s="293"/>
    </row>
    <row r="652" spans="1:12" s="69" customFormat="1" ht="14.4">
      <c r="A652" s="89">
        <f>VLOOKUP(E652,Dim_Colegiado[],2,FALSE)</f>
        <v>19</v>
      </c>
      <c r="B652" s="90" t="str">
        <f t="shared" si="10"/>
        <v>2019</v>
      </c>
      <c r="C652" s="75" t="s">
        <v>803</v>
      </c>
      <c r="D652" s="91" t="s">
        <v>397</v>
      </c>
      <c r="E652" s="91" t="s">
        <v>321</v>
      </c>
      <c r="F652" s="88">
        <v>481407.65</v>
      </c>
      <c r="G652" s="82" t="s">
        <v>101</v>
      </c>
      <c r="H652" s="72" t="s">
        <v>123</v>
      </c>
      <c r="I652" s="91"/>
      <c r="J652" s="91" t="str">
        <f>LEFT(empreend_Fehidro[[#This Row],[suBpdc classifc]],1)</f>
        <v/>
      </c>
      <c r="K652" s="85"/>
      <c r="L652" s="293"/>
    </row>
    <row r="653" spans="1:12" s="69" customFormat="1" ht="14.4">
      <c r="A653" s="78">
        <f>VLOOKUP(E653,Dim_Colegiado[],2,FALSE)</f>
        <v>19</v>
      </c>
      <c r="B653" s="67" t="str">
        <f t="shared" si="10"/>
        <v>2019</v>
      </c>
      <c r="C653" s="74" t="s">
        <v>804</v>
      </c>
      <c r="D653" s="68" t="s">
        <v>397</v>
      </c>
      <c r="E653" s="68" t="s">
        <v>321</v>
      </c>
      <c r="F653" s="92">
        <v>650000</v>
      </c>
      <c r="G653" s="82" t="s">
        <v>101</v>
      </c>
      <c r="H653" s="72" t="s">
        <v>123</v>
      </c>
      <c r="I653" s="95"/>
      <c r="J653" s="95" t="str">
        <f>LEFT(empreend_Fehidro[[#This Row],[suBpdc classifc]],1)</f>
        <v/>
      </c>
      <c r="K653" s="85"/>
      <c r="L653" s="293"/>
    </row>
    <row r="654" spans="1:12" s="69" customFormat="1" ht="14.4">
      <c r="A654" s="89">
        <f>VLOOKUP(E654,Dim_Colegiado[],2,FALSE)</f>
        <v>19</v>
      </c>
      <c r="B654" s="90" t="str">
        <f t="shared" si="10"/>
        <v>2019</v>
      </c>
      <c r="C654" s="75" t="s">
        <v>805</v>
      </c>
      <c r="D654" s="91" t="s">
        <v>397</v>
      </c>
      <c r="E654" s="91" t="s">
        <v>321</v>
      </c>
      <c r="F654" s="88">
        <v>948431.59</v>
      </c>
      <c r="G654" s="82" t="s">
        <v>101</v>
      </c>
      <c r="H654" s="72" t="s">
        <v>123</v>
      </c>
      <c r="I654" s="91"/>
      <c r="J654" s="91" t="str">
        <f>LEFT(empreend_Fehidro[[#This Row],[suBpdc classifc]],1)</f>
        <v/>
      </c>
      <c r="K654" s="85"/>
      <c r="L654" s="293"/>
    </row>
    <row r="655" spans="1:12" s="69" customFormat="1" ht="14.4">
      <c r="A655" s="78">
        <f>VLOOKUP(E655,Dim_Colegiado[],2,FALSE)</f>
        <v>19</v>
      </c>
      <c r="B655" s="67" t="str">
        <f t="shared" si="10"/>
        <v>2019</v>
      </c>
      <c r="C655" s="74" t="s">
        <v>806</v>
      </c>
      <c r="D655" s="68" t="s">
        <v>397</v>
      </c>
      <c r="E655" s="68" t="s">
        <v>321</v>
      </c>
      <c r="F655" s="92">
        <v>995682.09</v>
      </c>
      <c r="G655" s="82" t="s">
        <v>101</v>
      </c>
      <c r="H655" s="72" t="s">
        <v>123</v>
      </c>
      <c r="I655" s="95"/>
      <c r="J655" s="95" t="str">
        <f>LEFT(empreend_Fehidro[[#This Row],[suBpdc classifc]],1)</f>
        <v/>
      </c>
      <c r="K655" s="85"/>
      <c r="L655" s="293"/>
    </row>
    <row r="656" spans="1:12" s="69" customFormat="1" ht="14.4">
      <c r="A656" s="89">
        <f>VLOOKUP(E656,Dim_Colegiado[],2,FALSE)</f>
        <v>19</v>
      </c>
      <c r="B656" s="90" t="str">
        <f t="shared" si="10"/>
        <v>2019</v>
      </c>
      <c r="C656" s="75" t="s">
        <v>807</v>
      </c>
      <c r="D656" s="91" t="s">
        <v>408</v>
      </c>
      <c r="E656" s="91" t="s">
        <v>321</v>
      </c>
      <c r="F656" s="88">
        <v>197144.02</v>
      </c>
      <c r="G656" s="82" t="s">
        <v>101</v>
      </c>
      <c r="H656" s="72" t="s">
        <v>123</v>
      </c>
      <c r="I656" s="91"/>
      <c r="J656" s="91" t="str">
        <f>LEFT(empreend_Fehidro[[#This Row],[suBpdc classifc]],1)</f>
        <v/>
      </c>
      <c r="K656" s="85"/>
      <c r="L656" s="293"/>
    </row>
    <row r="657" spans="1:12" s="69" customFormat="1" ht="14.4">
      <c r="A657" s="78">
        <f>VLOOKUP(E657,Dim_Colegiado[],2,FALSE)</f>
        <v>19</v>
      </c>
      <c r="B657" s="67" t="str">
        <f t="shared" si="10"/>
        <v>2019</v>
      </c>
      <c r="C657" s="74" t="s">
        <v>808</v>
      </c>
      <c r="D657" s="68" t="s">
        <v>408</v>
      </c>
      <c r="E657" s="68" t="s">
        <v>321</v>
      </c>
      <c r="F657" s="92">
        <v>202122.26</v>
      </c>
      <c r="G657" s="82" t="s">
        <v>101</v>
      </c>
      <c r="H657" s="72" t="s">
        <v>123</v>
      </c>
      <c r="I657" s="95"/>
      <c r="J657" s="95" t="str">
        <f>LEFT(empreend_Fehidro[[#This Row],[suBpdc classifc]],1)</f>
        <v/>
      </c>
      <c r="K657" s="85"/>
      <c r="L657" s="293"/>
    </row>
    <row r="658" spans="1:12" s="141" customFormat="1" ht="10.5" customHeight="1">
      <c r="A658" s="89">
        <f>VLOOKUP(E658,Dim_Colegiado[],2,FALSE)</f>
        <v>19</v>
      </c>
      <c r="B658" s="90" t="str">
        <f t="shared" si="10"/>
        <v>2019</v>
      </c>
      <c r="C658" s="75" t="s">
        <v>809</v>
      </c>
      <c r="D658" s="91" t="s">
        <v>408</v>
      </c>
      <c r="E658" s="91" t="s">
        <v>321</v>
      </c>
      <c r="F658" s="88">
        <v>381570</v>
      </c>
      <c r="G658" s="82" t="s">
        <v>101</v>
      </c>
      <c r="H658" s="72" t="s">
        <v>123</v>
      </c>
      <c r="I658" s="91"/>
      <c r="J658" s="91" t="str">
        <f>LEFT(empreend_Fehidro[[#This Row],[suBpdc classifc]],1)</f>
        <v/>
      </c>
      <c r="K658" s="85"/>
      <c r="L658" s="293"/>
    </row>
    <row r="659" spans="1:12" s="141" customFormat="1" ht="10.5" customHeight="1">
      <c r="A659" s="78">
        <f>VLOOKUP(E659,Dim_Colegiado[],2,FALSE)</f>
        <v>19</v>
      </c>
      <c r="B659" s="67" t="str">
        <f t="shared" si="10"/>
        <v>2019</v>
      </c>
      <c r="C659" s="74" t="s">
        <v>810</v>
      </c>
      <c r="D659" s="68" t="s">
        <v>408</v>
      </c>
      <c r="E659" s="68" t="s">
        <v>321</v>
      </c>
      <c r="F659" s="92">
        <v>800000</v>
      </c>
      <c r="G659" s="82" t="s">
        <v>101</v>
      </c>
      <c r="H659" s="72" t="s">
        <v>123</v>
      </c>
      <c r="I659" s="95"/>
      <c r="J659" s="95" t="str">
        <f>LEFT(empreend_Fehidro[[#This Row],[suBpdc classifc]],1)</f>
        <v/>
      </c>
      <c r="K659" s="85"/>
      <c r="L659" s="293"/>
    </row>
    <row r="660" spans="1:12" s="141" customFormat="1" ht="10.5" customHeight="1">
      <c r="A660" s="89">
        <f>VLOOKUP(E660,Dim_Colegiado[],2,FALSE)</f>
        <v>19</v>
      </c>
      <c r="B660" s="90" t="str">
        <f t="shared" si="10"/>
        <v>2019</v>
      </c>
      <c r="C660" s="75" t="s">
        <v>811</v>
      </c>
      <c r="D660" s="91" t="s">
        <v>408</v>
      </c>
      <c r="E660" s="91" t="s">
        <v>321</v>
      </c>
      <c r="F660" s="88">
        <v>94392</v>
      </c>
      <c r="G660" s="82" t="s">
        <v>101</v>
      </c>
      <c r="H660" s="72" t="s">
        <v>123</v>
      </c>
      <c r="I660" s="91"/>
      <c r="J660" s="91" t="str">
        <f>LEFT(empreend_Fehidro[[#This Row],[suBpdc classifc]],1)</f>
        <v/>
      </c>
      <c r="K660" s="85"/>
      <c r="L660" s="293"/>
    </row>
    <row r="661" spans="1:12" s="141" customFormat="1" ht="10.5" customHeight="1">
      <c r="A661" s="78">
        <f>VLOOKUP(E661,Dim_Colegiado[],2,FALSE)</f>
        <v>19</v>
      </c>
      <c r="B661" s="67" t="str">
        <f t="shared" si="10"/>
        <v>2019</v>
      </c>
      <c r="C661" s="74" t="s">
        <v>812</v>
      </c>
      <c r="D661" s="68" t="s">
        <v>408</v>
      </c>
      <c r="E661" s="68" t="s">
        <v>321</v>
      </c>
      <c r="F661" s="92">
        <v>141303.57</v>
      </c>
      <c r="G661" s="82" t="s">
        <v>101</v>
      </c>
      <c r="H661" s="72" t="s">
        <v>123</v>
      </c>
      <c r="I661" s="95"/>
      <c r="J661" s="95" t="str">
        <f>LEFT(empreend_Fehidro[[#This Row],[suBpdc classifc]],1)</f>
        <v/>
      </c>
      <c r="K661" s="85"/>
      <c r="L661" s="293"/>
    </row>
    <row r="662" spans="1:12" s="141" customFormat="1" ht="10.5" customHeight="1">
      <c r="A662" s="89">
        <f>VLOOKUP(E662,Dim_Colegiado[],2,FALSE)</f>
        <v>19</v>
      </c>
      <c r="B662" s="90" t="str">
        <f t="shared" si="10"/>
        <v>2019</v>
      </c>
      <c r="C662" s="75" t="s">
        <v>813</v>
      </c>
      <c r="D662" s="91" t="s">
        <v>408</v>
      </c>
      <c r="E662" s="91" t="s">
        <v>321</v>
      </c>
      <c r="F662" s="88">
        <v>175000</v>
      </c>
      <c r="G662" s="82" t="s">
        <v>101</v>
      </c>
      <c r="H662" s="72" t="s">
        <v>123</v>
      </c>
      <c r="I662" s="91"/>
      <c r="J662" s="91" t="str">
        <f>LEFT(empreend_Fehidro[[#This Row],[suBpdc classifc]],1)</f>
        <v/>
      </c>
      <c r="K662" s="85"/>
      <c r="L662" s="293"/>
    </row>
    <row r="663" spans="1:12" s="141" customFormat="1" ht="10.5" customHeight="1">
      <c r="A663" s="78">
        <f>VLOOKUP(E663,Dim_Colegiado[],2,FALSE)</f>
        <v>19</v>
      </c>
      <c r="B663" s="67" t="str">
        <f t="shared" si="10"/>
        <v>2019</v>
      </c>
      <c r="C663" s="74" t="s">
        <v>814</v>
      </c>
      <c r="D663" s="68" t="s">
        <v>408</v>
      </c>
      <c r="E663" s="68" t="s">
        <v>321</v>
      </c>
      <c r="F663" s="92">
        <v>187946.36</v>
      </c>
      <c r="G663" s="82" t="s">
        <v>101</v>
      </c>
      <c r="H663" s="72" t="s">
        <v>123</v>
      </c>
      <c r="I663" s="95"/>
      <c r="J663" s="95" t="str">
        <f>LEFT(empreend_Fehidro[[#This Row],[suBpdc classifc]],1)</f>
        <v/>
      </c>
      <c r="K663" s="85"/>
      <c r="L663" s="293"/>
    </row>
    <row r="664" spans="1:12" s="141" customFormat="1" ht="10.5" customHeight="1">
      <c r="A664" s="89">
        <f>VLOOKUP(E664,Dim_Colegiado[],2,FALSE)</f>
        <v>19</v>
      </c>
      <c r="B664" s="90" t="str">
        <f t="shared" si="10"/>
        <v>2019</v>
      </c>
      <c r="C664" s="75" t="s">
        <v>815</v>
      </c>
      <c r="D664" s="91" t="s">
        <v>408</v>
      </c>
      <c r="E664" s="91" t="s">
        <v>321</v>
      </c>
      <c r="F664" s="88">
        <v>218002.37</v>
      </c>
      <c r="G664" s="82" t="s">
        <v>101</v>
      </c>
      <c r="H664" s="72" t="s">
        <v>123</v>
      </c>
      <c r="I664" s="91"/>
      <c r="J664" s="91" t="str">
        <f>LEFT(empreend_Fehidro[[#This Row],[suBpdc classifc]],1)</f>
        <v/>
      </c>
      <c r="K664" s="85"/>
      <c r="L664" s="293"/>
    </row>
    <row r="665" spans="1:12" s="69" customFormat="1" ht="14.4">
      <c r="A665" s="89">
        <f>VLOOKUP(E665,Dim_Colegiado[],2,FALSE)</f>
        <v>22</v>
      </c>
      <c r="B665" s="90" t="str">
        <f t="shared" si="10"/>
        <v>2019</v>
      </c>
      <c r="C665" s="75" t="s">
        <v>816</v>
      </c>
      <c r="D665" s="91" t="s">
        <v>411</v>
      </c>
      <c r="E665" s="91" t="s">
        <v>341</v>
      </c>
      <c r="F665" s="88">
        <v>287817.18</v>
      </c>
      <c r="G665" s="82" t="s">
        <v>101</v>
      </c>
      <c r="H665" s="72" t="s">
        <v>123</v>
      </c>
      <c r="I665" s="91"/>
      <c r="J665" s="91" t="str">
        <f>LEFT(empreend_Fehidro[[#This Row],[suBpdc classifc]],1)</f>
        <v/>
      </c>
      <c r="K665" s="86" t="s">
        <v>641</v>
      </c>
      <c r="L665" s="293"/>
    </row>
    <row r="666" spans="1:12" s="69" customFormat="1" ht="14.4">
      <c r="A666" s="78">
        <f>VLOOKUP(E666,Dim_Colegiado[],2,FALSE)</f>
        <v>22</v>
      </c>
      <c r="B666" s="67" t="str">
        <f t="shared" si="10"/>
        <v>2019</v>
      </c>
      <c r="C666" s="74" t="s">
        <v>817</v>
      </c>
      <c r="D666" s="68" t="s">
        <v>411</v>
      </c>
      <c r="E666" s="68" t="s">
        <v>341</v>
      </c>
      <c r="F666" s="92">
        <v>296025.01</v>
      </c>
      <c r="G666" s="82" t="s">
        <v>101</v>
      </c>
      <c r="H666" s="72" t="s">
        <v>123</v>
      </c>
      <c r="I666" s="95"/>
      <c r="J666" s="95" t="str">
        <f>LEFT(empreend_Fehidro[[#This Row],[suBpdc classifc]],1)</f>
        <v/>
      </c>
      <c r="K666" s="86" t="s">
        <v>641</v>
      </c>
      <c r="L666" s="293"/>
    </row>
    <row r="667" spans="1:12" s="69" customFormat="1" ht="14.4">
      <c r="A667" s="89">
        <f>VLOOKUP(E667,Dim_Colegiado[],2,FALSE)</f>
        <v>22</v>
      </c>
      <c r="B667" s="90" t="str">
        <f t="shared" si="10"/>
        <v>2019</v>
      </c>
      <c r="C667" s="75" t="s">
        <v>818</v>
      </c>
      <c r="D667" s="91" t="s">
        <v>411</v>
      </c>
      <c r="E667" s="91" t="s">
        <v>341</v>
      </c>
      <c r="F667" s="88">
        <v>294107.37</v>
      </c>
      <c r="G667" s="82" t="s">
        <v>101</v>
      </c>
      <c r="H667" s="72" t="s">
        <v>123</v>
      </c>
      <c r="I667" s="91"/>
      <c r="J667" s="91" t="str">
        <f>LEFT(empreend_Fehidro[[#This Row],[suBpdc classifc]],1)</f>
        <v/>
      </c>
      <c r="K667" s="86" t="s">
        <v>641</v>
      </c>
      <c r="L667" s="293"/>
    </row>
    <row r="668" spans="1:12" s="70" customFormat="1" ht="14.4">
      <c r="A668" s="78">
        <f>VLOOKUP(E668,Dim_Colegiado[],2,FALSE)</f>
        <v>22</v>
      </c>
      <c r="B668" s="67" t="str">
        <f t="shared" si="10"/>
        <v>2019</v>
      </c>
      <c r="C668" s="74" t="s">
        <v>819</v>
      </c>
      <c r="D668" s="68" t="s">
        <v>397</v>
      </c>
      <c r="E668" s="68" t="s">
        <v>341</v>
      </c>
      <c r="F668" s="92">
        <v>80000</v>
      </c>
      <c r="G668" s="82" t="s">
        <v>101</v>
      </c>
      <c r="H668" s="72" t="s">
        <v>123</v>
      </c>
      <c r="I668" s="95"/>
      <c r="J668" s="95" t="str">
        <f>LEFT(empreend_Fehidro[[#This Row],[suBpdc classifc]],1)</f>
        <v/>
      </c>
      <c r="K668" s="86" t="s">
        <v>641</v>
      </c>
      <c r="L668" s="293"/>
    </row>
    <row r="669" spans="1:12" s="70" customFormat="1" ht="14.4">
      <c r="A669" s="89">
        <f>VLOOKUP(E669,Dim_Colegiado[],2,FALSE)</f>
        <v>22</v>
      </c>
      <c r="B669" s="90" t="str">
        <f t="shared" si="10"/>
        <v>2019</v>
      </c>
      <c r="C669" s="75" t="s">
        <v>820</v>
      </c>
      <c r="D669" s="91" t="s">
        <v>397</v>
      </c>
      <c r="E669" s="91" t="s">
        <v>341</v>
      </c>
      <c r="F669" s="88">
        <v>127000</v>
      </c>
      <c r="G669" s="82" t="s">
        <v>101</v>
      </c>
      <c r="H669" s="72" t="s">
        <v>123</v>
      </c>
      <c r="I669" s="91"/>
      <c r="J669" s="91" t="str">
        <f>LEFT(empreend_Fehidro[[#This Row],[suBpdc classifc]],1)</f>
        <v/>
      </c>
      <c r="K669" s="86" t="s">
        <v>641</v>
      </c>
      <c r="L669" s="293"/>
    </row>
    <row r="670" spans="1:12" s="70" customFormat="1" ht="14.4">
      <c r="A670" s="78">
        <f>VLOOKUP(E670,Dim_Colegiado[],2,FALSE)</f>
        <v>22</v>
      </c>
      <c r="B670" s="67" t="str">
        <f t="shared" si="10"/>
        <v>2019</v>
      </c>
      <c r="C670" s="74" t="s">
        <v>821</v>
      </c>
      <c r="D670" s="68" t="s">
        <v>397</v>
      </c>
      <c r="E670" s="68" t="s">
        <v>341</v>
      </c>
      <c r="F670" s="92">
        <v>326022.7</v>
      </c>
      <c r="G670" s="82" t="s">
        <v>101</v>
      </c>
      <c r="H670" s="72" t="s">
        <v>123</v>
      </c>
      <c r="I670" s="95"/>
      <c r="J670" s="95" t="str">
        <f>LEFT(empreend_Fehidro[[#This Row],[suBpdc classifc]],1)</f>
        <v/>
      </c>
      <c r="K670" s="86" t="s">
        <v>641</v>
      </c>
      <c r="L670" s="293"/>
    </row>
    <row r="671" spans="1:12" s="70" customFormat="1" ht="14.4">
      <c r="A671" s="89">
        <f>VLOOKUP(E671,Dim_Colegiado[],2,FALSE)</f>
        <v>22</v>
      </c>
      <c r="B671" s="90" t="str">
        <f t="shared" si="10"/>
        <v>2019</v>
      </c>
      <c r="C671" s="75" t="s">
        <v>822</v>
      </c>
      <c r="D671" s="91" t="s">
        <v>397</v>
      </c>
      <c r="E671" s="91" t="s">
        <v>341</v>
      </c>
      <c r="F671" s="88">
        <v>74643.67</v>
      </c>
      <c r="G671" s="82" t="s">
        <v>101</v>
      </c>
      <c r="H671" s="72" t="s">
        <v>123</v>
      </c>
      <c r="I671" s="91"/>
      <c r="J671" s="91" t="str">
        <f>LEFT(empreend_Fehidro[[#This Row],[suBpdc classifc]],1)</f>
        <v/>
      </c>
      <c r="K671" s="86" t="s">
        <v>641</v>
      </c>
      <c r="L671" s="293"/>
    </row>
    <row r="672" spans="1:12" s="70" customFormat="1" ht="14.4">
      <c r="A672" s="78">
        <f>VLOOKUP(E672,Dim_Colegiado[],2,FALSE)</f>
        <v>22</v>
      </c>
      <c r="B672" s="67" t="str">
        <f t="shared" si="10"/>
        <v>2019</v>
      </c>
      <c r="C672" s="74" t="s">
        <v>823</v>
      </c>
      <c r="D672" s="68" t="s">
        <v>397</v>
      </c>
      <c r="E672" s="68" t="s">
        <v>341</v>
      </c>
      <c r="F672" s="92">
        <v>201470.88</v>
      </c>
      <c r="G672" s="82" t="s">
        <v>101</v>
      </c>
      <c r="H672" s="72" t="s">
        <v>123</v>
      </c>
      <c r="I672" s="95"/>
      <c r="J672" s="95" t="str">
        <f>LEFT(empreend_Fehidro[[#This Row],[suBpdc classifc]],1)</f>
        <v/>
      </c>
      <c r="K672" s="86" t="s">
        <v>641</v>
      </c>
      <c r="L672" s="293"/>
    </row>
    <row r="673" spans="1:12" s="70" customFormat="1" ht="14.4">
      <c r="A673" s="89">
        <f>VLOOKUP(E673,Dim_Colegiado[],2,FALSE)</f>
        <v>22</v>
      </c>
      <c r="B673" s="90" t="str">
        <f t="shared" si="10"/>
        <v>2019</v>
      </c>
      <c r="C673" s="75" t="s">
        <v>824</v>
      </c>
      <c r="D673" s="91" t="s">
        <v>408</v>
      </c>
      <c r="E673" s="91" t="s">
        <v>341</v>
      </c>
      <c r="F673" s="88">
        <v>66318.14</v>
      </c>
      <c r="G673" s="82" t="s">
        <v>101</v>
      </c>
      <c r="H673" s="72" t="s">
        <v>123</v>
      </c>
      <c r="I673" s="91"/>
      <c r="J673" s="91" t="str">
        <f>LEFT(empreend_Fehidro[[#This Row],[suBpdc classifc]],1)</f>
        <v/>
      </c>
      <c r="K673" s="86" t="s">
        <v>641</v>
      </c>
      <c r="L673" s="293"/>
    </row>
    <row r="674" spans="1:12" s="70" customFormat="1" ht="14.4">
      <c r="A674" s="78">
        <f>VLOOKUP(E674,Dim_Colegiado[],2,FALSE)</f>
        <v>22</v>
      </c>
      <c r="B674" s="67" t="str">
        <f t="shared" si="10"/>
        <v>2019</v>
      </c>
      <c r="C674" s="74" t="s">
        <v>825</v>
      </c>
      <c r="D674" s="68" t="s">
        <v>408</v>
      </c>
      <c r="E674" s="68" t="s">
        <v>341</v>
      </c>
      <c r="F674" s="92">
        <v>69903</v>
      </c>
      <c r="G674" s="82" t="s">
        <v>101</v>
      </c>
      <c r="H674" s="72" t="s">
        <v>123</v>
      </c>
      <c r="I674" s="95"/>
      <c r="J674" s="95" t="str">
        <f>LEFT(empreend_Fehidro[[#This Row],[suBpdc classifc]],1)</f>
        <v/>
      </c>
      <c r="K674" s="86" t="s">
        <v>641</v>
      </c>
      <c r="L674" s="293"/>
    </row>
    <row r="675" spans="1:12" s="70" customFormat="1" ht="14.4">
      <c r="A675" s="89">
        <f>VLOOKUP(E675,Dim_Colegiado[],2,FALSE)</f>
        <v>22</v>
      </c>
      <c r="B675" s="90" t="str">
        <f t="shared" si="10"/>
        <v>2019</v>
      </c>
      <c r="C675" s="75" t="s">
        <v>826</v>
      </c>
      <c r="D675" s="91" t="s">
        <v>408</v>
      </c>
      <c r="E675" s="91" t="s">
        <v>341</v>
      </c>
      <c r="F675" s="88">
        <v>110000</v>
      </c>
      <c r="G675" s="82" t="s">
        <v>101</v>
      </c>
      <c r="H675" s="72" t="s">
        <v>123</v>
      </c>
      <c r="I675" s="91"/>
      <c r="J675" s="91" t="str">
        <f>LEFT(empreend_Fehidro[[#This Row],[suBpdc classifc]],1)</f>
        <v/>
      </c>
      <c r="K675" s="86" t="s">
        <v>641</v>
      </c>
      <c r="L675" s="293"/>
    </row>
    <row r="676" spans="1:12" s="70" customFormat="1" ht="14.4">
      <c r="A676" s="78">
        <f>VLOOKUP(E676,Dim_Colegiado[],2,FALSE)</f>
        <v>22</v>
      </c>
      <c r="B676" s="67" t="str">
        <f t="shared" si="10"/>
        <v>2019</v>
      </c>
      <c r="C676" s="74" t="s">
        <v>827</v>
      </c>
      <c r="D676" s="68" t="s">
        <v>408</v>
      </c>
      <c r="E676" s="68" t="s">
        <v>341</v>
      </c>
      <c r="F676" s="92">
        <v>200000</v>
      </c>
      <c r="G676" s="82" t="s">
        <v>101</v>
      </c>
      <c r="H676" s="72" t="s">
        <v>123</v>
      </c>
      <c r="I676" s="95"/>
      <c r="J676" s="95" t="str">
        <f>LEFT(empreend_Fehidro[[#This Row],[suBpdc classifc]],1)</f>
        <v/>
      </c>
      <c r="K676" s="86" t="s">
        <v>641</v>
      </c>
      <c r="L676" s="293"/>
    </row>
    <row r="677" spans="1:12" s="70" customFormat="1" ht="14.4">
      <c r="A677" s="89">
        <f>VLOOKUP(E677,Dim_Colegiado[],2,FALSE)</f>
        <v>22</v>
      </c>
      <c r="B677" s="90" t="str">
        <f t="shared" si="10"/>
        <v>2019</v>
      </c>
      <c r="C677" s="75" t="s">
        <v>828</v>
      </c>
      <c r="D677" s="91" t="s">
        <v>408</v>
      </c>
      <c r="E677" s="91" t="s">
        <v>341</v>
      </c>
      <c r="F677" s="88">
        <v>50155.25</v>
      </c>
      <c r="G677" s="82" t="s">
        <v>101</v>
      </c>
      <c r="H677" s="72" t="s">
        <v>123</v>
      </c>
      <c r="I677" s="91"/>
      <c r="J677" s="91" t="str">
        <f>LEFT(empreend_Fehidro[[#This Row],[suBpdc classifc]],1)</f>
        <v/>
      </c>
      <c r="K677" s="86" t="s">
        <v>641</v>
      </c>
      <c r="L677" s="293"/>
    </row>
    <row r="678" spans="1:12" s="70" customFormat="1" ht="14.4">
      <c r="A678" s="78">
        <f>VLOOKUP(E678,Dim_Colegiado[],2,FALSE)</f>
        <v>22</v>
      </c>
      <c r="B678" s="67" t="str">
        <f t="shared" si="10"/>
        <v>2019</v>
      </c>
      <c r="C678" s="74" t="s">
        <v>829</v>
      </c>
      <c r="D678" s="68" t="s">
        <v>408</v>
      </c>
      <c r="E678" s="68" t="s">
        <v>341</v>
      </c>
      <c r="F678" s="92">
        <v>58704</v>
      </c>
      <c r="G678" s="82" t="s">
        <v>101</v>
      </c>
      <c r="H678" s="72" t="s">
        <v>123</v>
      </c>
      <c r="I678" s="95"/>
      <c r="J678" s="95" t="str">
        <f>LEFT(empreend_Fehidro[[#This Row],[suBpdc classifc]],1)</f>
        <v/>
      </c>
      <c r="K678" s="86" t="s">
        <v>641</v>
      </c>
      <c r="L678" s="293"/>
    </row>
    <row r="679" spans="1:12" s="70" customFormat="1" ht="14.4">
      <c r="A679" s="93">
        <f>VLOOKUP(E679,Dim_Colegiado[],2,FALSE)</f>
        <v>2021</v>
      </c>
      <c r="B679" s="94" t="str">
        <f t="shared" si="10"/>
        <v>2019</v>
      </c>
      <c r="C679" s="76" t="s">
        <v>830</v>
      </c>
      <c r="D679" s="95" t="s">
        <v>411</v>
      </c>
      <c r="E679" s="95" t="s">
        <v>351</v>
      </c>
      <c r="F679" s="92">
        <v>250823.86</v>
      </c>
      <c r="G679" s="82" t="s">
        <v>101</v>
      </c>
      <c r="H679" s="72" t="s">
        <v>123</v>
      </c>
      <c r="I679" s="95"/>
      <c r="J679" s="95" t="str">
        <f>LEFT(empreend_Fehidro[[#This Row],[suBpdc classifc]],1)</f>
        <v/>
      </c>
      <c r="K679" s="86"/>
      <c r="L679" s="293"/>
    </row>
    <row r="680" spans="1:12" s="70" customFormat="1" ht="14.4">
      <c r="A680" s="89">
        <f>VLOOKUP(E680,Dim_Colegiado[],2,FALSE)</f>
        <v>2021</v>
      </c>
      <c r="B680" s="90" t="str">
        <f t="shared" si="10"/>
        <v>2019</v>
      </c>
      <c r="C680" s="75" t="s">
        <v>831</v>
      </c>
      <c r="D680" s="91" t="s">
        <v>411</v>
      </c>
      <c r="E680" s="91" t="s">
        <v>351</v>
      </c>
      <c r="F680" s="88">
        <v>118658.42</v>
      </c>
      <c r="G680" s="82" t="s">
        <v>101</v>
      </c>
      <c r="H680" s="72" t="s">
        <v>123</v>
      </c>
      <c r="I680" s="91"/>
      <c r="J680" s="91" t="str">
        <f>LEFT(empreend_Fehidro[[#This Row],[suBpdc classifc]],1)</f>
        <v/>
      </c>
      <c r="K680" s="86"/>
      <c r="L680" s="293"/>
    </row>
    <row r="681" spans="1:12" s="70" customFormat="1" ht="14.4">
      <c r="A681" s="93">
        <f>VLOOKUP(E681,Dim_Colegiado[],2,FALSE)</f>
        <v>2021</v>
      </c>
      <c r="B681" s="94" t="str">
        <f t="shared" si="10"/>
        <v>2019</v>
      </c>
      <c r="C681" s="76" t="s">
        <v>832</v>
      </c>
      <c r="D681" s="95" t="s">
        <v>683</v>
      </c>
      <c r="E681" s="95" t="s">
        <v>351</v>
      </c>
      <c r="F681" s="92">
        <v>372129.84</v>
      </c>
      <c r="G681" s="82" t="s">
        <v>101</v>
      </c>
      <c r="H681" s="72" t="s">
        <v>123</v>
      </c>
      <c r="I681" s="95"/>
      <c r="J681" s="95" t="str">
        <f>LEFT(empreend_Fehidro[[#This Row],[suBpdc classifc]],1)</f>
        <v/>
      </c>
      <c r="K681" s="86"/>
      <c r="L681" s="293"/>
    </row>
    <row r="682" spans="1:12" s="70" customFormat="1" ht="14.4">
      <c r="A682" s="89">
        <f>VLOOKUP(E682,Dim_Colegiado[],2,FALSE)</f>
        <v>2021</v>
      </c>
      <c r="B682" s="90" t="str">
        <f t="shared" si="10"/>
        <v>2019</v>
      </c>
      <c r="C682" s="75" t="s">
        <v>833</v>
      </c>
      <c r="D682" s="91" t="s">
        <v>397</v>
      </c>
      <c r="E682" s="91" t="s">
        <v>351</v>
      </c>
      <c r="F682" s="88">
        <v>256520.95999999999</v>
      </c>
      <c r="G682" s="82" t="s">
        <v>101</v>
      </c>
      <c r="H682" s="72" t="s">
        <v>123</v>
      </c>
      <c r="I682" s="91"/>
      <c r="J682" s="91" t="str">
        <f>LEFT(empreend_Fehidro[[#This Row],[suBpdc classifc]],1)</f>
        <v/>
      </c>
      <c r="K682" s="86"/>
      <c r="L682" s="293"/>
    </row>
    <row r="683" spans="1:12" s="70" customFormat="1" ht="14.4">
      <c r="A683" s="93">
        <f>VLOOKUP(E683,Dim_Colegiado[],2,FALSE)</f>
        <v>2021</v>
      </c>
      <c r="B683" s="94" t="str">
        <f t="shared" si="10"/>
        <v>2019</v>
      </c>
      <c r="C683" s="76" t="s">
        <v>834</v>
      </c>
      <c r="D683" s="95" t="s">
        <v>397</v>
      </c>
      <c r="E683" s="95" t="s">
        <v>351</v>
      </c>
      <c r="F683" s="92">
        <v>326918.90000000002</v>
      </c>
      <c r="G683" s="82" t="s">
        <v>101</v>
      </c>
      <c r="H683" s="72" t="s">
        <v>123</v>
      </c>
      <c r="I683" s="95"/>
      <c r="J683" s="95" t="str">
        <f>LEFT(empreend_Fehidro[[#This Row],[suBpdc classifc]],1)</f>
        <v/>
      </c>
      <c r="K683" s="86"/>
      <c r="L683" s="293"/>
    </row>
    <row r="684" spans="1:12" s="70" customFormat="1" ht="14.4">
      <c r="A684" s="89">
        <f>VLOOKUP(E684,Dim_Colegiado[],2,FALSE)</f>
        <v>2021</v>
      </c>
      <c r="B684" s="90" t="str">
        <f t="shared" si="10"/>
        <v>2019</v>
      </c>
      <c r="C684" s="75" t="s">
        <v>835</v>
      </c>
      <c r="D684" s="91" t="s">
        <v>397</v>
      </c>
      <c r="E684" s="91" t="s">
        <v>351</v>
      </c>
      <c r="F684" s="88">
        <v>395166.27</v>
      </c>
      <c r="G684" s="82" t="s">
        <v>101</v>
      </c>
      <c r="H684" s="72" t="s">
        <v>123</v>
      </c>
      <c r="I684" s="91"/>
      <c r="J684" s="91" t="str">
        <f>LEFT(empreend_Fehidro[[#This Row],[suBpdc classifc]],1)</f>
        <v/>
      </c>
      <c r="K684" s="86"/>
      <c r="L684" s="293"/>
    </row>
    <row r="685" spans="1:12" s="70" customFormat="1" ht="14.4">
      <c r="A685" s="93">
        <f>VLOOKUP(E685,Dim_Colegiado[],2,FALSE)</f>
        <v>2021</v>
      </c>
      <c r="B685" s="94" t="str">
        <f t="shared" si="10"/>
        <v>2019</v>
      </c>
      <c r="C685" s="76" t="s">
        <v>836</v>
      </c>
      <c r="D685" s="95" t="s">
        <v>397</v>
      </c>
      <c r="E685" s="95" t="s">
        <v>351</v>
      </c>
      <c r="F685" s="92">
        <v>411522.45</v>
      </c>
      <c r="G685" s="82" t="s">
        <v>101</v>
      </c>
      <c r="H685" s="72" t="s">
        <v>123</v>
      </c>
      <c r="I685" s="95"/>
      <c r="J685" s="95" t="str">
        <f>LEFT(empreend_Fehidro[[#This Row],[suBpdc classifc]],1)</f>
        <v/>
      </c>
      <c r="K685" s="86"/>
      <c r="L685" s="293"/>
    </row>
    <row r="686" spans="1:12" s="70" customFormat="1" ht="14.4">
      <c r="A686" s="89">
        <f>VLOOKUP(E686,Dim_Colegiado[],2,FALSE)</f>
        <v>2021</v>
      </c>
      <c r="B686" s="90" t="str">
        <f t="shared" si="10"/>
        <v>2019</v>
      </c>
      <c r="C686" s="75" t="s">
        <v>837</v>
      </c>
      <c r="D686" s="91" t="s">
        <v>397</v>
      </c>
      <c r="E686" s="91" t="s">
        <v>351</v>
      </c>
      <c r="F686" s="88">
        <v>451785.92</v>
      </c>
      <c r="G686" s="82" t="s">
        <v>101</v>
      </c>
      <c r="H686" s="72" t="s">
        <v>123</v>
      </c>
      <c r="I686" s="91"/>
      <c r="J686" s="91" t="str">
        <f>LEFT(empreend_Fehidro[[#This Row],[suBpdc classifc]],1)</f>
        <v/>
      </c>
      <c r="K686" s="86"/>
      <c r="L686" s="293"/>
    </row>
    <row r="687" spans="1:12" s="70" customFormat="1" ht="14.4">
      <c r="A687" s="93">
        <f>VLOOKUP(E687,Dim_Colegiado[],2,FALSE)</f>
        <v>2021</v>
      </c>
      <c r="B687" s="94" t="str">
        <f t="shared" si="10"/>
        <v>2019</v>
      </c>
      <c r="C687" s="76" t="s">
        <v>838</v>
      </c>
      <c r="D687" s="95" t="s">
        <v>397</v>
      </c>
      <c r="E687" s="95" t="s">
        <v>351</v>
      </c>
      <c r="F687" s="92">
        <v>121480.87</v>
      </c>
      <c r="G687" s="82" t="s">
        <v>101</v>
      </c>
      <c r="H687" s="72" t="s">
        <v>123</v>
      </c>
      <c r="I687" s="95"/>
      <c r="J687" s="95" t="str">
        <f>LEFT(empreend_Fehidro[[#This Row],[suBpdc classifc]],1)</f>
        <v/>
      </c>
      <c r="K687" s="86"/>
      <c r="L687" s="293"/>
    </row>
    <row r="688" spans="1:12" s="70" customFormat="1" ht="14.4">
      <c r="A688" s="89">
        <f>VLOOKUP(E688,Dim_Colegiado[],2,FALSE)</f>
        <v>2021</v>
      </c>
      <c r="B688" s="90" t="str">
        <f t="shared" si="10"/>
        <v>2019</v>
      </c>
      <c r="C688" s="75" t="s">
        <v>839</v>
      </c>
      <c r="D688" s="91" t="s">
        <v>397</v>
      </c>
      <c r="E688" s="91" t="s">
        <v>351</v>
      </c>
      <c r="F688" s="88">
        <v>241023.35999999999</v>
      </c>
      <c r="G688" s="82" t="s">
        <v>101</v>
      </c>
      <c r="H688" s="72" t="s">
        <v>123</v>
      </c>
      <c r="I688" s="91"/>
      <c r="J688" s="91" t="str">
        <f>LEFT(empreend_Fehidro[[#This Row],[suBpdc classifc]],1)</f>
        <v/>
      </c>
      <c r="K688" s="86"/>
      <c r="L688" s="293"/>
    </row>
    <row r="689" spans="1:12" s="70" customFormat="1" ht="14.4">
      <c r="A689" s="93">
        <f>VLOOKUP(E689,Dim_Colegiado[],2,FALSE)</f>
        <v>2021</v>
      </c>
      <c r="B689" s="94" t="str">
        <f t="shared" si="10"/>
        <v>2019</v>
      </c>
      <c r="C689" s="76" t="s">
        <v>840</v>
      </c>
      <c r="D689" s="95" t="s">
        <v>397</v>
      </c>
      <c r="E689" s="95" t="s">
        <v>351</v>
      </c>
      <c r="F689" s="92">
        <v>252892.25</v>
      </c>
      <c r="G689" s="82" t="s">
        <v>101</v>
      </c>
      <c r="H689" s="72" t="s">
        <v>123</v>
      </c>
      <c r="I689" s="95"/>
      <c r="J689" s="95" t="str">
        <f>LEFT(empreend_Fehidro[[#This Row],[suBpdc classifc]],1)</f>
        <v/>
      </c>
      <c r="K689" s="86"/>
      <c r="L689" s="293"/>
    </row>
    <row r="690" spans="1:12" s="70" customFormat="1" ht="14.4">
      <c r="A690" s="89">
        <f>VLOOKUP(E690,Dim_Colegiado[],2,FALSE)</f>
        <v>2021</v>
      </c>
      <c r="B690" s="90" t="str">
        <f t="shared" si="10"/>
        <v>2019</v>
      </c>
      <c r="C690" s="75" t="s">
        <v>841</v>
      </c>
      <c r="D690" s="91" t="s">
        <v>397</v>
      </c>
      <c r="E690" s="91" t="s">
        <v>351</v>
      </c>
      <c r="F690" s="88">
        <v>281343.62</v>
      </c>
      <c r="G690" s="82" t="s">
        <v>101</v>
      </c>
      <c r="H690" s="72" t="s">
        <v>123</v>
      </c>
      <c r="I690" s="91"/>
      <c r="J690" s="91" t="str">
        <f>LEFT(empreend_Fehidro[[#This Row],[suBpdc classifc]],1)</f>
        <v/>
      </c>
      <c r="K690" s="86"/>
      <c r="L690" s="293"/>
    </row>
    <row r="691" spans="1:12" s="70" customFormat="1" ht="14.4">
      <c r="A691" s="93">
        <f>VLOOKUP(E691,Dim_Colegiado[],2,FALSE)</f>
        <v>2021</v>
      </c>
      <c r="B691" s="94" t="str">
        <f t="shared" si="10"/>
        <v>2019</v>
      </c>
      <c r="C691" s="76" t="s">
        <v>842</v>
      </c>
      <c r="D691" s="95" t="s">
        <v>397</v>
      </c>
      <c r="E691" s="95" t="s">
        <v>351</v>
      </c>
      <c r="F691" s="92">
        <v>400000</v>
      </c>
      <c r="G691" s="82" t="s">
        <v>101</v>
      </c>
      <c r="H691" s="72" t="s">
        <v>123</v>
      </c>
      <c r="I691" s="95"/>
      <c r="J691" s="95" t="str">
        <f>LEFT(empreend_Fehidro[[#This Row],[suBpdc classifc]],1)</f>
        <v/>
      </c>
      <c r="K691" s="86"/>
      <c r="L691" s="293"/>
    </row>
    <row r="692" spans="1:12" s="83" customFormat="1" ht="16.5" customHeight="1">
      <c r="A692" s="89">
        <f>VLOOKUP(E692,Dim_Colegiado[],2,FALSE)</f>
        <v>2021</v>
      </c>
      <c r="B692" s="90" t="str">
        <f t="shared" si="10"/>
        <v>2019</v>
      </c>
      <c r="C692" s="75" t="s">
        <v>843</v>
      </c>
      <c r="D692" s="91" t="s">
        <v>397</v>
      </c>
      <c r="E692" s="91" t="s">
        <v>351</v>
      </c>
      <c r="F692" s="88">
        <v>553920.67000000004</v>
      </c>
      <c r="G692" s="82" t="s">
        <v>101</v>
      </c>
      <c r="H692" s="72" t="s">
        <v>123</v>
      </c>
      <c r="I692" s="91"/>
      <c r="J692" s="91" t="str">
        <f>LEFT(empreend_Fehidro[[#This Row],[suBpdc classifc]],1)</f>
        <v/>
      </c>
      <c r="K692" s="86"/>
      <c r="L692" s="293"/>
    </row>
    <row r="693" spans="1:12" s="70" customFormat="1" ht="14.4">
      <c r="A693" s="93">
        <f>VLOOKUP(E693,Dim_Colegiado[],2,FALSE)</f>
        <v>2021</v>
      </c>
      <c r="B693" s="94" t="str">
        <f t="shared" si="10"/>
        <v>2019</v>
      </c>
      <c r="C693" s="76" t="s">
        <v>844</v>
      </c>
      <c r="D693" s="95" t="s">
        <v>408</v>
      </c>
      <c r="E693" s="95" t="s">
        <v>351</v>
      </c>
      <c r="F693" s="92">
        <v>250000</v>
      </c>
      <c r="G693" s="82" t="s">
        <v>101</v>
      </c>
      <c r="H693" s="72" t="s">
        <v>123</v>
      </c>
      <c r="I693" s="95"/>
      <c r="J693" s="95" t="str">
        <f>LEFT(empreend_Fehidro[[#This Row],[suBpdc classifc]],1)</f>
        <v/>
      </c>
      <c r="K693" s="86"/>
      <c r="L693" s="293"/>
    </row>
    <row r="694" spans="1:12" s="70" customFormat="1" ht="14.4">
      <c r="A694" s="89">
        <f>VLOOKUP(E694,Dim_Colegiado[],2,FALSE)</f>
        <v>2021</v>
      </c>
      <c r="B694" s="90" t="str">
        <f t="shared" si="10"/>
        <v>2019</v>
      </c>
      <c r="C694" s="75" t="s">
        <v>845</v>
      </c>
      <c r="D694" s="91" t="s">
        <v>408</v>
      </c>
      <c r="E694" s="91" t="s">
        <v>351</v>
      </c>
      <c r="F694" s="88">
        <v>410865.18</v>
      </c>
      <c r="G694" s="82" t="s">
        <v>101</v>
      </c>
      <c r="H694" s="72" t="s">
        <v>123</v>
      </c>
      <c r="I694" s="91"/>
      <c r="J694" s="91" t="str">
        <f>LEFT(empreend_Fehidro[[#This Row],[suBpdc classifc]],1)</f>
        <v/>
      </c>
      <c r="K694" s="86"/>
      <c r="L694" s="293"/>
    </row>
    <row r="695" spans="1:12" s="70" customFormat="1" ht="14.4">
      <c r="A695" s="93">
        <f>VLOOKUP(E695,Dim_Colegiado[],2,FALSE)</f>
        <v>2021</v>
      </c>
      <c r="B695" s="94" t="str">
        <f t="shared" si="10"/>
        <v>2019</v>
      </c>
      <c r="C695" s="76" t="s">
        <v>846</v>
      </c>
      <c r="D695" s="95" t="s">
        <v>408</v>
      </c>
      <c r="E695" s="95" t="s">
        <v>351</v>
      </c>
      <c r="F695" s="92">
        <v>112646.73</v>
      </c>
      <c r="G695" s="82" t="s">
        <v>101</v>
      </c>
      <c r="H695" s="72" t="s">
        <v>123</v>
      </c>
      <c r="I695" s="95"/>
      <c r="J695" s="95" t="str">
        <f>LEFT(empreend_Fehidro[[#This Row],[suBpdc classifc]],1)</f>
        <v/>
      </c>
      <c r="K695" s="86"/>
      <c r="L695" s="293"/>
    </row>
    <row r="696" spans="1:12" s="70" customFormat="1" ht="14.4">
      <c r="A696" s="89">
        <f>VLOOKUP(E696,Dim_Colegiado[],2,FALSE)</f>
        <v>2021</v>
      </c>
      <c r="B696" s="90" t="str">
        <f t="shared" si="10"/>
        <v>2019</v>
      </c>
      <c r="C696" s="75" t="s">
        <v>847</v>
      </c>
      <c r="D696" s="91" t="s">
        <v>408</v>
      </c>
      <c r="E696" s="91" t="s">
        <v>351</v>
      </c>
      <c r="F696" s="88">
        <v>129958.71</v>
      </c>
      <c r="G696" s="82" t="s">
        <v>101</v>
      </c>
      <c r="H696" s="72" t="s">
        <v>123</v>
      </c>
      <c r="I696" s="91"/>
      <c r="J696" s="91" t="str">
        <f>LEFT(empreend_Fehidro[[#This Row],[suBpdc classifc]],1)</f>
        <v/>
      </c>
      <c r="K696" s="86"/>
      <c r="L696" s="293"/>
    </row>
    <row r="697" spans="1:12" s="70" customFormat="1" ht="14.4">
      <c r="A697" s="93">
        <f>VLOOKUP(E697,Dim_Colegiado[],2,FALSE)</f>
        <v>2021</v>
      </c>
      <c r="B697" s="94" t="str">
        <f t="shared" si="10"/>
        <v>2019</v>
      </c>
      <c r="C697" s="76" t="s">
        <v>848</v>
      </c>
      <c r="D697" s="95" t="s">
        <v>408</v>
      </c>
      <c r="E697" s="95" t="s">
        <v>351</v>
      </c>
      <c r="F697" s="92">
        <v>174822.72</v>
      </c>
      <c r="G697" s="82" t="s">
        <v>101</v>
      </c>
      <c r="H697" s="72" t="s">
        <v>123</v>
      </c>
      <c r="I697" s="95"/>
      <c r="J697" s="95" t="str">
        <f>LEFT(empreend_Fehidro[[#This Row],[suBpdc classifc]],1)</f>
        <v/>
      </c>
      <c r="K697" s="86"/>
      <c r="L697" s="293"/>
    </row>
    <row r="698" spans="1:12" s="70" customFormat="1" ht="14.4">
      <c r="A698" s="89">
        <f>VLOOKUP(E698,Dim_Colegiado[],2,FALSE)</f>
        <v>2021</v>
      </c>
      <c r="B698" s="90" t="str">
        <f t="shared" si="10"/>
        <v>2019</v>
      </c>
      <c r="C698" s="75" t="s">
        <v>849</v>
      </c>
      <c r="D698" s="91" t="s">
        <v>408</v>
      </c>
      <c r="E698" s="91" t="s">
        <v>351</v>
      </c>
      <c r="F698" s="88">
        <v>246348.95</v>
      </c>
      <c r="G698" s="82" t="s">
        <v>101</v>
      </c>
      <c r="H698" s="72" t="s">
        <v>123</v>
      </c>
      <c r="I698" s="91"/>
      <c r="J698" s="91" t="str">
        <f>LEFT(empreend_Fehidro[[#This Row],[suBpdc classifc]],1)</f>
        <v/>
      </c>
      <c r="K698" s="86"/>
      <c r="L698" s="293"/>
    </row>
    <row r="699" spans="1:12" s="70" customFormat="1" ht="14.4">
      <c r="A699" s="93">
        <f>VLOOKUP(E699,Dim_Colegiado[],2,FALSE)</f>
        <v>2021</v>
      </c>
      <c r="B699" s="94" t="str">
        <f t="shared" si="10"/>
        <v>2019</v>
      </c>
      <c r="C699" s="76" t="s">
        <v>850</v>
      </c>
      <c r="D699" s="95" t="s">
        <v>408</v>
      </c>
      <c r="E699" s="95" t="s">
        <v>351</v>
      </c>
      <c r="F699" s="92">
        <v>295096.32000000001</v>
      </c>
      <c r="G699" s="82" t="s">
        <v>101</v>
      </c>
      <c r="H699" s="72" t="s">
        <v>123</v>
      </c>
      <c r="I699" s="95"/>
      <c r="J699" s="95" t="str">
        <f>LEFT(empreend_Fehidro[[#This Row],[suBpdc classifc]],1)</f>
        <v/>
      </c>
      <c r="K699" s="86"/>
      <c r="L699" s="293"/>
    </row>
    <row r="700" spans="1:12" s="70" customFormat="1" ht="14.4">
      <c r="A700" s="93" t="e">
        <f>VLOOKUP(E700,Dim_Colegiado[],2,FALSE)</f>
        <v>#N/A</v>
      </c>
      <c r="B700" s="94" t="str">
        <f t="shared" si="10"/>
        <v>2019</v>
      </c>
      <c r="C700" s="76" t="s">
        <v>851</v>
      </c>
      <c r="D700" s="95" t="s">
        <v>408</v>
      </c>
      <c r="E700" s="95" t="s">
        <v>852</v>
      </c>
      <c r="F700" s="92">
        <v>944000</v>
      </c>
      <c r="G700" s="82" t="s">
        <v>101</v>
      </c>
      <c r="H700" s="72" t="s">
        <v>123</v>
      </c>
      <c r="I700" s="95"/>
      <c r="J700" s="95" t="str">
        <f>LEFT(empreend_Fehidro[[#This Row],[suBpdc classifc]],1)</f>
        <v/>
      </c>
      <c r="K700" s="86"/>
      <c r="L700" s="293"/>
    </row>
    <row r="701" spans="1:12" s="70" customFormat="1" ht="14.4">
      <c r="A701" s="89" t="e">
        <f>VLOOKUP(E701,Dim_Colegiado[],2,FALSE)</f>
        <v>#N/A</v>
      </c>
      <c r="B701" s="90" t="str">
        <f t="shared" si="10"/>
        <v>2019</v>
      </c>
      <c r="C701" s="75" t="s">
        <v>853</v>
      </c>
      <c r="D701" s="91" t="s">
        <v>408</v>
      </c>
      <c r="E701" s="91" t="s">
        <v>852</v>
      </c>
      <c r="F701" s="88">
        <v>1500000</v>
      </c>
      <c r="G701" s="82" t="s">
        <v>101</v>
      </c>
      <c r="H701" s="72" t="s">
        <v>123</v>
      </c>
      <c r="I701" s="91"/>
      <c r="J701" s="91" t="str">
        <f>LEFT(empreend_Fehidro[[#This Row],[suBpdc classifc]],1)</f>
        <v/>
      </c>
      <c r="K701" s="86"/>
      <c r="L701" s="293"/>
    </row>
    <row r="702" spans="1:12" s="70" customFormat="1" ht="14.4">
      <c r="A702" s="93" t="e">
        <f>VLOOKUP(E702,Dim_Colegiado[],2,FALSE)</f>
        <v>#N/A</v>
      </c>
      <c r="B702" s="94" t="str">
        <f t="shared" si="10"/>
        <v>2019</v>
      </c>
      <c r="C702" s="76" t="s">
        <v>854</v>
      </c>
      <c r="D702" s="95" t="s">
        <v>408</v>
      </c>
      <c r="E702" s="95" t="s">
        <v>852</v>
      </c>
      <c r="F702" s="92">
        <v>6045855.6200000001</v>
      </c>
      <c r="G702" s="82" t="s">
        <v>101</v>
      </c>
      <c r="H702" s="72" t="s">
        <v>123</v>
      </c>
      <c r="I702" s="95"/>
      <c r="J702" s="95" t="str">
        <f>LEFT(empreend_Fehidro[[#This Row],[suBpdc classifc]],1)</f>
        <v/>
      </c>
      <c r="K702" s="86"/>
      <c r="L702" s="293"/>
    </row>
  </sheetData>
  <hyperlinks>
    <hyperlink ref="C563" r:id="rId1" xr:uid="{00000000-0004-0000-0600-000000000000}"/>
    <hyperlink ref="C679" r:id="rId2" xr:uid="{00000000-0004-0000-0600-000001000000}"/>
    <hyperlink ref="C680" r:id="rId3" xr:uid="{00000000-0004-0000-0600-000002000000}"/>
    <hyperlink ref="C533" r:id="rId4" xr:uid="{00000000-0004-0000-0600-000003000000}"/>
    <hyperlink ref="C342" r:id="rId5" xr:uid="{00000000-0004-0000-0600-000004000000}"/>
    <hyperlink ref="C343" r:id="rId6" xr:uid="{00000000-0004-0000-0600-000005000000}"/>
    <hyperlink ref="C344" r:id="rId7" xr:uid="{00000000-0004-0000-0600-000006000000}"/>
    <hyperlink ref="C345" r:id="rId8" xr:uid="{00000000-0004-0000-0600-000007000000}"/>
    <hyperlink ref="C346" r:id="rId9" xr:uid="{00000000-0004-0000-0600-000008000000}"/>
    <hyperlink ref="C347" r:id="rId10" xr:uid="{00000000-0004-0000-0600-000009000000}"/>
    <hyperlink ref="C348" r:id="rId11" xr:uid="{00000000-0004-0000-0600-00000A000000}"/>
    <hyperlink ref="C640" r:id="rId12" xr:uid="{00000000-0004-0000-0600-00000B000000}"/>
    <hyperlink ref="C641" r:id="rId13" xr:uid="{00000000-0004-0000-0600-00000C000000}"/>
    <hyperlink ref="C642" r:id="rId14" xr:uid="{00000000-0004-0000-0600-00000D000000}"/>
    <hyperlink ref="C402" r:id="rId15" xr:uid="{00000000-0004-0000-0600-00000E000000}"/>
    <hyperlink ref="C403" r:id="rId16" xr:uid="{00000000-0004-0000-0600-00000F000000}"/>
    <hyperlink ref="C404" r:id="rId17" xr:uid="{00000000-0004-0000-0600-000010000000}"/>
    <hyperlink ref="C405" r:id="rId18" xr:uid="{00000000-0004-0000-0600-000011000000}"/>
    <hyperlink ref="C406" r:id="rId19" xr:uid="{00000000-0004-0000-0600-000012000000}"/>
    <hyperlink ref="C285" r:id="rId20" xr:uid="{00000000-0004-0000-0600-000013000000}"/>
    <hyperlink ref="C286" r:id="rId21" xr:uid="{00000000-0004-0000-0600-000014000000}"/>
    <hyperlink ref="C287" r:id="rId22" xr:uid="{00000000-0004-0000-0600-000015000000}"/>
    <hyperlink ref="C288" r:id="rId23" xr:uid="{00000000-0004-0000-0600-000016000000}"/>
    <hyperlink ref="C289" r:id="rId24" xr:uid="{00000000-0004-0000-0600-000017000000}"/>
    <hyperlink ref="C290" r:id="rId25" xr:uid="{00000000-0004-0000-0600-000018000000}"/>
    <hyperlink ref="C291" r:id="rId26" xr:uid="{00000000-0004-0000-0600-000019000000}"/>
    <hyperlink ref="C665" r:id="rId27" xr:uid="{00000000-0004-0000-0600-00001A000000}"/>
    <hyperlink ref="C666" r:id="rId28" xr:uid="{00000000-0004-0000-0600-00001B000000}"/>
    <hyperlink ref="C667" r:id="rId29" xr:uid="{00000000-0004-0000-0600-00001C000000}"/>
    <hyperlink ref="C264" r:id="rId30" xr:uid="{00000000-0004-0000-0600-00001D000000}"/>
    <hyperlink ref="C493" r:id="rId31" xr:uid="{00000000-0004-0000-0600-00001E000000}"/>
    <hyperlink ref="C494" r:id="rId32" xr:uid="{00000000-0004-0000-0600-00001F000000}"/>
    <hyperlink ref="C495" r:id="rId33" xr:uid="{00000000-0004-0000-0600-000020000000}"/>
    <hyperlink ref="C496" r:id="rId34" xr:uid="{00000000-0004-0000-0600-000021000000}"/>
    <hyperlink ref="C632" r:id="rId35" xr:uid="{00000000-0004-0000-0600-000022000000}"/>
    <hyperlink ref="C385" r:id="rId36" xr:uid="{00000000-0004-0000-0600-000023000000}"/>
    <hyperlink ref="C386" r:id="rId37" xr:uid="{00000000-0004-0000-0600-000024000000}"/>
    <hyperlink ref="C387" r:id="rId38" xr:uid="{00000000-0004-0000-0600-000025000000}"/>
    <hyperlink ref="C388" r:id="rId39" xr:uid="{00000000-0004-0000-0600-000026000000}"/>
    <hyperlink ref="C389" r:id="rId40" xr:uid="{00000000-0004-0000-0600-000027000000}"/>
    <hyperlink ref="C451" r:id="rId41" xr:uid="{00000000-0004-0000-0600-000028000000}"/>
    <hyperlink ref="C452" r:id="rId42" xr:uid="{00000000-0004-0000-0600-000029000000}"/>
    <hyperlink ref="C453" r:id="rId43" xr:uid="{00000000-0004-0000-0600-00002A000000}"/>
    <hyperlink ref="C454" r:id="rId44" xr:uid="{00000000-0004-0000-0600-00002B000000}"/>
    <hyperlink ref="C455" r:id="rId45" xr:uid="{00000000-0004-0000-0600-00002C000000}"/>
    <hyperlink ref="C456" r:id="rId46" xr:uid="{00000000-0004-0000-0600-00002D000000}"/>
    <hyperlink ref="C457" r:id="rId47" xr:uid="{00000000-0004-0000-0600-00002E000000}"/>
    <hyperlink ref="C458" r:id="rId48" xr:uid="{00000000-0004-0000-0600-00002F000000}"/>
    <hyperlink ref="C459" r:id="rId49" xr:uid="{00000000-0004-0000-0600-000030000000}"/>
    <hyperlink ref="C460" r:id="rId50" xr:uid="{00000000-0004-0000-0600-000031000000}"/>
    <hyperlink ref="C461" r:id="rId51" xr:uid="{00000000-0004-0000-0600-000032000000}"/>
    <hyperlink ref="C462" r:id="rId52" xr:uid="{00000000-0004-0000-0600-000033000000}"/>
    <hyperlink ref="C463" r:id="rId53" xr:uid="{00000000-0004-0000-0600-000034000000}"/>
    <hyperlink ref="C464" r:id="rId54" xr:uid="{00000000-0004-0000-0600-000035000000}"/>
    <hyperlink ref="C465" r:id="rId55" xr:uid="{00000000-0004-0000-0600-000036000000}"/>
    <hyperlink ref="C466" r:id="rId56" xr:uid="{00000000-0004-0000-0600-000037000000}"/>
    <hyperlink ref="C589" r:id="rId57" xr:uid="{00000000-0004-0000-0600-000038000000}"/>
    <hyperlink ref="C590" r:id="rId58" xr:uid="{00000000-0004-0000-0600-000039000000}"/>
    <hyperlink ref="C591" r:id="rId59" xr:uid="{00000000-0004-0000-0600-00003A000000}"/>
    <hyperlink ref="C592" r:id="rId60" xr:uid="{00000000-0004-0000-0600-00003B000000}"/>
    <hyperlink ref="C593" r:id="rId61" xr:uid="{00000000-0004-0000-0600-00003C000000}"/>
    <hyperlink ref="C594" r:id="rId62" xr:uid="{00000000-0004-0000-0600-00003D000000}"/>
    <hyperlink ref="C595" r:id="rId63" xr:uid="{00000000-0004-0000-0600-00003E000000}"/>
    <hyperlink ref="C596" r:id="rId64" xr:uid="{00000000-0004-0000-0600-00003F000000}"/>
    <hyperlink ref="C597" r:id="rId65" xr:uid="{00000000-0004-0000-0600-000040000000}"/>
    <hyperlink ref="C576" r:id="rId66" xr:uid="{00000000-0004-0000-0600-000041000000}"/>
    <hyperlink ref="C577" r:id="rId67" xr:uid="{00000000-0004-0000-0600-000042000000}"/>
    <hyperlink ref="C545" r:id="rId68" xr:uid="{00000000-0004-0000-0600-000043000000}"/>
    <hyperlink ref="C546" r:id="rId69" xr:uid="{00000000-0004-0000-0600-000044000000}"/>
    <hyperlink ref="C547" r:id="rId70" xr:uid="{00000000-0004-0000-0600-000045000000}"/>
    <hyperlink ref="C681" r:id="rId71" xr:uid="{00000000-0004-0000-0600-000046000000}"/>
    <hyperlink ref="C534" r:id="rId72" xr:uid="{00000000-0004-0000-0600-000047000000}"/>
    <hyperlink ref="C535" r:id="rId73" xr:uid="{00000000-0004-0000-0600-000048000000}"/>
    <hyperlink ref="C643" r:id="rId74" xr:uid="{00000000-0004-0000-0600-000049000000}"/>
    <hyperlink ref="C612" r:id="rId75" xr:uid="{00000000-0004-0000-0600-00004A000000}"/>
    <hyperlink ref="C564" r:id="rId76" xr:uid="{00000000-0004-0000-0600-00004B000000}"/>
    <hyperlink ref="C565" r:id="rId77" xr:uid="{00000000-0004-0000-0600-00004C000000}"/>
    <hyperlink ref="C566" r:id="rId78" xr:uid="{00000000-0004-0000-0600-00004D000000}"/>
    <hyperlink ref="C567" r:id="rId79" xr:uid="{00000000-0004-0000-0600-00004E000000}"/>
    <hyperlink ref="C568" r:id="rId80" xr:uid="{00000000-0004-0000-0600-00004F000000}"/>
    <hyperlink ref="C569" r:id="rId81" xr:uid="{00000000-0004-0000-0600-000050000000}"/>
    <hyperlink ref="C570" r:id="rId82" xr:uid="{00000000-0004-0000-0600-000051000000}"/>
    <hyperlink ref="C571" r:id="rId83" xr:uid="{00000000-0004-0000-0600-000052000000}"/>
    <hyperlink ref="C682" r:id="rId84" xr:uid="{00000000-0004-0000-0600-000053000000}"/>
    <hyperlink ref="C683" r:id="rId85" xr:uid="{00000000-0004-0000-0600-000054000000}"/>
    <hyperlink ref="C684" r:id="rId86" xr:uid="{00000000-0004-0000-0600-000055000000}"/>
    <hyperlink ref="C685" r:id="rId87" xr:uid="{00000000-0004-0000-0600-000056000000}"/>
    <hyperlink ref="C686" r:id="rId88" xr:uid="{00000000-0004-0000-0600-000057000000}"/>
    <hyperlink ref="C687" r:id="rId89" xr:uid="{00000000-0004-0000-0600-000058000000}"/>
    <hyperlink ref="C688" r:id="rId90" xr:uid="{00000000-0004-0000-0600-000059000000}"/>
    <hyperlink ref="C689" r:id="rId91" xr:uid="{00000000-0004-0000-0600-00005A000000}"/>
    <hyperlink ref="C690" r:id="rId92" xr:uid="{00000000-0004-0000-0600-00005B000000}"/>
    <hyperlink ref="C691" r:id="rId93" xr:uid="{00000000-0004-0000-0600-00005C000000}"/>
    <hyperlink ref="C692" r:id="rId94" xr:uid="{00000000-0004-0000-0600-00005D000000}"/>
    <hyperlink ref="C536" r:id="rId95" xr:uid="{00000000-0004-0000-0600-00005E000000}"/>
    <hyperlink ref="C537" r:id="rId96" xr:uid="{00000000-0004-0000-0600-00005F000000}"/>
    <hyperlink ref="C538" r:id="rId97" xr:uid="{00000000-0004-0000-0600-000060000000}"/>
    <hyperlink ref="C539" r:id="rId98" xr:uid="{00000000-0004-0000-0600-000061000000}"/>
    <hyperlink ref="C540" r:id="rId99" xr:uid="{00000000-0004-0000-0600-000062000000}"/>
    <hyperlink ref="C541" r:id="rId100" xr:uid="{00000000-0004-0000-0600-000063000000}"/>
    <hyperlink ref="C542" r:id="rId101" xr:uid="{00000000-0004-0000-0600-000064000000}"/>
    <hyperlink ref="C349" r:id="rId102" xr:uid="{00000000-0004-0000-0600-000065000000}"/>
    <hyperlink ref="C350" r:id="rId103" xr:uid="{00000000-0004-0000-0600-000066000000}"/>
    <hyperlink ref="C351" r:id="rId104" xr:uid="{00000000-0004-0000-0600-000067000000}"/>
    <hyperlink ref="C352" r:id="rId105" xr:uid="{00000000-0004-0000-0600-000068000000}"/>
    <hyperlink ref="C353" r:id="rId106" xr:uid="{00000000-0004-0000-0600-000069000000}"/>
    <hyperlink ref="C354" r:id="rId107" xr:uid="{00000000-0004-0000-0600-00006A000000}"/>
    <hyperlink ref="C355" r:id="rId108" xr:uid="{00000000-0004-0000-0600-00006B000000}"/>
    <hyperlink ref="C356" r:id="rId109" xr:uid="{00000000-0004-0000-0600-00006C000000}"/>
    <hyperlink ref="C644" r:id="rId110" xr:uid="{00000000-0004-0000-0600-00006D000000}"/>
    <hyperlink ref="C645" r:id="rId111" xr:uid="{00000000-0004-0000-0600-00006E000000}"/>
    <hyperlink ref="C646" r:id="rId112" xr:uid="{00000000-0004-0000-0600-00006F000000}"/>
    <hyperlink ref="C647" r:id="rId113" xr:uid="{00000000-0004-0000-0600-000070000000}"/>
    <hyperlink ref="C648" r:id="rId114" xr:uid="{00000000-0004-0000-0600-000071000000}"/>
    <hyperlink ref="C649" r:id="rId115" xr:uid="{00000000-0004-0000-0600-000072000000}"/>
    <hyperlink ref="C650" r:id="rId116" xr:uid="{00000000-0004-0000-0600-000073000000}"/>
    <hyperlink ref="C651" r:id="rId117" xr:uid="{00000000-0004-0000-0600-000074000000}"/>
    <hyperlink ref="C652" r:id="rId118" xr:uid="{00000000-0004-0000-0600-000075000000}"/>
    <hyperlink ref="C653" r:id="rId119" xr:uid="{00000000-0004-0000-0600-000076000000}"/>
    <hyperlink ref="C654" r:id="rId120" xr:uid="{00000000-0004-0000-0600-000077000000}"/>
    <hyperlink ref="C655" r:id="rId121" xr:uid="{00000000-0004-0000-0600-000078000000}"/>
    <hyperlink ref="C281" r:id="rId122" xr:uid="{00000000-0004-0000-0600-000079000000}"/>
    <hyperlink ref="C407" r:id="rId123" xr:uid="{00000000-0004-0000-0600-00007A000000}"/>
    <hyperlink ref="C408" r:id="rId124" xr:uid="{00000000-0004-0000-0600-00007B000000}"/>
    <hyperlink ref="C409" r:id="rId125" xr:uid="{00000000-0004-0000-0600-00007C000000}"/>
    <hyperlink ref="C410" r:id="rId126" xr:uid="{00000000-0004-0000-0600-00007D000000}"/>
    <hyperlink ref="C411" r:id="rId127" xr:uid="{00000000-0004-0000-0600-00007E000000}"/>
    <hyperlink ref="C412" r:id="rId128" xr:uid="{00000000-0004-0000-0600-00007F000000}"/>
    <hyperlink ref="C413" r:id="rId129" xr:uid="{00000000-0004-0000-0600-000080000000}"/>
    <hyperlink ref="C414" r:id="rId130" xr:uid="{00000000-0004-0000-0600-000081000000}"/>
    <hyperlink ref="C415" r:id="rId131" xr:uid="{00000000-0004-0000-0600-000082000000}"/>
    <hyperlink ref="C416" r:id="rId132" xr:uid="{00000000-0004-0000-0600-000083000000}"/>
    <hyperlink ref="C417" r:id="rId133" xr:uid="{00000000-0004-0000-0600-000084000000}"/>
    <hyperlink ref="C418" r:id="rId134" xr:uid="{00000000-0004-0000-0600-000085000000}"/>
    <hyperlink ref="C419" r:id="rId135" xr:uid="{00000000-0004-0000-0600-000086000000}"/>
    <hyperlink ref="C420" r:id="rId136" xr:uid="{00000000-0004-0000-0600-000087000000}"/>
    <hyperlink ref="C421" r:id="rId137" xr:uid="{00000000-0004-0000-0600-000088000000}"/>
    <hyperlink ref="C422" r:id="rId138" xr:uid="{00000000-0004-0000-0600-000089000000}"/>
    <hyperlink ref="C423" r:id="rId139" xr:uid="{00000000-0004-0000-0600-00008A000000}"/>
    <hyperlink ref="C424" r:id="rId140" xr:uid="{00000000-0004-0000-0600-00008B000000}"/>
    <hyperlink ref="C425" r:id="rId141" xr:uid="{00000000-0004-0000-0600-00008C000000}"/>
    <hyperlink ref="C426" r:id="rId142" xr:uid="{00000000-0004-0000-0600-00008D000000}"/>
    <hyperlink ref="C427" r:id="rId143" xr:uid="{00000000-0004-0000-0600-00008E000000}"/>
    <hyperlink ref="C428" r:id="rId144" xr:uid="{00000000-0004-0000-0600-00008F000000}"/>
    <hyperlink ref="C429" r:id="rId145" xr:uid="{00000000-0004-0000-0600-000090000000}"/>
    <hyperlink ref="C430" r:id="rId146" xr:uid="{00000000-0004-0000-0600-000091000000}"/>
    <hyperlink ref="C431" r:id="rId147" xr:uid="{00000000-0004-0000-0600-000092000000}"/>
    <hyperlink ref="C432" r:id="rId148" xr:uid="{00000000-0004-0000-0600-000093000000}"/>
    <hyperlink ref="C433" r:id="rId149" xr:uid="{00000000-0004-0000-0600-000094000000}"/>
    <hyperlink ref="C434" r:id="rId150" xr:uid="{00000000-0004-0000-0600-000095000000}"/>
    <hyperlink ref="C435" r:id="rId151" xr:uid="{00000000-0004-0000-0600-000096000000}"/>
    <hyperlink ref="C613" r:id="rId152" xr:uid="{00000000-0004-0000-0600-000097000000}"/>
    <hyperlink ref="C614" r:id="rId153" xr:uid="{00000000-0004-0000-0600-000098000000}"/>
    <hyperlink ref="C615" r:id="rId154" xr:uid="{00000000-0004-0000-0600-000099000000}"/>
    <hyperlink ref="C616" r:id="rId155" xr:uid="{00000000-0004-0000-0600-00009A000000}"/>
    <hyperlink ref="C617" r:id="rId156" xr:uid="{00000000-0004-0000-0600-00009B000000}"/>
    <hyperlink ref="C618" r:id="rId157" xr:uid="{00000000-0004-0000-0600-00009C000000}"/>
    <hyperlink ref="C619" r:id="rId158" xr:uid="{00000000-0004-0000-0600-00009D000000}"/>
    <hyperlink ref="C620" r:id="rId159" xr:uid="{00000000-0004-0000-0600-00009E000000}"/>
    <hyperlink ref="C621" r:id="rId160" xr:uid="{00000000-0004-0000-0600-00009F000000}"/>
    <hyperlink ref="C622" r:id="rId161" xr:uid="{00000000-0004-0000-0600-0000A0000000}"/>
    <hyperlink ref="C623" r:id="rId162" xr:uid="{00000000-0004-0000-0600-0000A1000000}"/>
    <hyperlink ref="C624" r:id="rId163" xr:uid="{00000000-0004-0000-0600-0000A2000000}"/>
    <hyperlink ref="C625" r:id="rId164" xr:uid="{00000000-0004-0000-0600-0000A3000000}"/>
    <hyperlink ref="C292" r:id="rId165" xr:uid="{00000000-0004-0000-0600-0000A4000000}"/>
    <hyperlink ref="C293" r:id="rId166" xr:uid="{00000000-0004-0000-0600-0000A5000000}"/>
    <hyperlink ref="C294" r:id="rId167" xr:uid="{00000000-0004-0000-0600-0000A6000000}"/>
    <hyperlink ref="C295" r:id="rId168" xr:uid="{00000000-0004-0000-0600-0000A7000000}"/>
    <hyperlink ref="C296" r:id="rId169" xr:uid="{00000000-0004-0000-0600-0000A8000000}"/>
    <hyperlink ref="C297" r:id="rId170" xr:uid="{00000000-0004-0000-0600-0000A9000000}"/>
    <hyperlink ref="C298" r:id="rId171" xr:uid="{00000000-0004-0000-0600-0000AA000000}"/>
    <hyperlink ref="C299" r:id="rId172" xr:uid="{00000000-0004-0000-0600-0000AB000000}"/>
    <hyperlink ref="C300" r:id="rId173" xr:uid="{00000000-0004-0000-0600-0000AC000000}"/>
    <hyperlink ref="C301" r:id="rId174" xr:uid="{00000000-0004-0000-0600-0000AD000000}"/>
    <hyperlink ref="C302" r:id="rId175" xr:uid="{00000000-0004-0000-0600-0000AE000000}"/>
    <hyperlink ref="C303" r:id="rId176" xr:uid="{00000000-0004-0000-0600-0000AF000000}"/>
    <hyperlink ref="C314" r:id="rId177" xr:uid="{00000000-0004-0000-0600-0000B0000000}"/>
    <hyperlink ref="C315" r:id="rId178" xr:uid="{00000000-0004-0000-0600-0000B1000000}"/>
    <hyperlink ref="C316" r:id="rId179" xr:uid="{00000000-0004-0000-0600-0000B2000000}"/>
    <hyperlink ref="C668" r:id="rId180" xr:uid="{00000000-0004-0000-0600-0000B3000000}"/>
    <hyperlink ref="C669" r:id="rId181" xr:uid="{00000000-0004-0000-0600-0000B4000000}"/>
    <hyperlink ref="C670" r:id="rId182" xr:uid="{00000000-0004-0000-0600-0000B5000000}"/>
    <hyperlink ref="C671" r:id="rId183" xr:uid="{00000000-0004-0000-0600-0000B6000000}"/>
    <hyperlink ref="C672" r:id="rId184" xr:uid="{00000000-0004-0000-0600-0000B7000000}"/>
    <hyperlink ref="C265" r:id="rId185" xr:uid="{00000000-0004-0000-0600-0000B8000000}"/>
    <hyperlink ref="C266" r:id="rId186" xr:uid="{00000000-0004-0000-0600-0000B9000000}"/>
    <hyperlink ref="C267" r:id="rId187" xr:uid="{00000000-0004-0000-0600-0000BA000000}"/>
    <hyperlink ref="C268" r:id="rId188" xr:uid="{00000000-0004-0000-0600-0000BB000000}"/>
    <hyperlink ref="C269" r:id="rId189" xr:uid="{00000000-0004-0000-0600-0000BC000000}"/>
    <hyperlink ref="C270" r:id="rId190" xr:uid="{00000000-0004-0000-0600-0000BD000000}"/>
    <hyperlink ref="C271" r:id="rId191" xr:uid="{00000000-0004-0000-0600-0000BE000000}"/>
    <hyperlink ref="C497" r:id="rId192" xr:uid="{00000000-0004-0000-0600-0000BF000000}"/>
    <hyperlink ref="C498" r:id="rId193" xr:uid="{00000000-0004-0000-0600-0000C0000000}"/>
    <hyperlink ref="C499" r:id="rId194" xr:uid="{00000000-0004-0000-0600-0000C1000000}"/>
    <hyperlink ref="C500" r:id="rId195" xr:uid="{00000000-0004-0000-0600-0000C2000000}"/>
    <hyperlink ref="C501" r:id="rId196" xr:uid="{00000000-0004-0000-0600-0000C3000000}"/>
    <hyperlink ref="C502" r:id="rId197" xr:uid="{00000000-0004-0000-0600-0000C4000000}"/>
    <hyperlink ref="C503" r:id="rId198" xr:uid="{00000000-0004-0000-0600-0000C5000000}"/>
    <hyperlink ref="C504" r:id="rId199" xr:uid="{00000000-0004-0000-0600-0000C6000000}"/>
    <hyperlink ref="C505" r:id="rId200" xr:uid="{00000000-0004-0000-0600-0000C7000000}"/>
    <hyperlink ref="C506" r:id="rId201" xr:uid="{00000000-0004-0000-0600-0000C8000000}"/>
    <hyperlink ref="C507" r:id="rId202" xr:uid="{00000000-0004-0000-0600-0000C9000000}"/>
    <hyperlink ref="C508" r:id="rId203" xr:uid="{00000000-0004-0000-0600-0000CA000000}"/>
    <hyperlink ref="C509" r:id="rId204" xr:uid="{00000000-0004-0000-0600-0000CB000000}"/>
    <hyperlink ref="C510" r:id="rId205" xr:uid="{00000000-0004-0000-0600-0000CC000000}"/>
    <hyperlink ref="C511" r:id="rId206" xr:uid="{00000000-0004-0000-0600-0000CD000000}"/>
    <hyperlink ref="C633" r:id="rId207" xr:uid="{00000000-0004-0000-0600-0000CE000000}"/>
    <hyperlink ref="C634" r:id="rId208" xr:uid="{00000000-0004-0000-0600-0000CF000000}"/>
    <hyperlink ref="C635" r:id="rId209" xr:uid="{00000000-0004-0000-0600-0000D0000000}"/>
    <hyperlink ref="C636" r:id="rId210" xr:uid="{00000000-0004-0000-0600-0000D1000000}"/>
    <hyperlink ref="C252" r:id="rId211" xr:uid="{00000000-0004-0000-0600-0000D2000000}"/>
    <hyperlink ref="C253" r:id="rId212" xr:uid="{00000000-0004-0000-0600-0000D3000000}"/>
    <hyperlink ref="C254" r:id="rId213" xr:uid="{00000000-0004-0000-0600-0000D4000000}"/>
    <hyperlink ref="C255" r:id="rId214" xr:uid="{00000000-0004-0000-0600-0000D5000000}"/>
    <hyperlink ref="C256" r:id="rId215" xr:uid="{00000000-0004-0000-0600-0000D6000000}"/>
    <hyperlink ref="C257" r:id="rId216" xr:uid="{00000000-0004-0000-0600-0000D7000000}"/>
    <hyperlink ref="C258" r:id="rId217" xr:uid="{00000000-0004-0000-0600-0000D8000000}"/>
    <hyperlink ref="C259" r:id="rId218" xr:uid="{00000000-0004-0000-0600-0000D9000000}"/>
    <hyperlink ref="C260" r:id="rId219" xr:uid="{00000000-0004-0000-0600-0000DA000000}"/>
    <hyperlink ref="C261" r:id="rId220" xr:uid="{00000000-0004-0000-0600-0000DB000000}"/>
    <hyperlink ref="C390" r:id="rId221" xr:uid="{00000000-0004-0000-0600-0000DC000000}"/>
    <hyperlink ref="C391" r:id="rId222" xr:uid="{00000000-0004-0000-0600-0000DD000000}"/>
    <hyperlink ref="C467" r:id="rId223" xr:uid="{00000000-0004-0000-0600-0000DE000000}"/>
    <hyperlink ref="C468" r:id="rId224" xr:uid="{00000000-0004-0000-0600-0000DF000000}"/>
    <hyperlink ref="C469" r:id="rId225" xr:uid="{00000000-0004-0000-0600-0000E0000000}"/>
    <hyperlink ref="C470" r:id="rId226" xr:uid="{00000000-0004-0000-0600-0000E1000000}"/>
    <hyperlink ref="C471" r:id="rId227" xr:uid="{00000000-0004-0000-0600-0000E2000000}"/>
    <hyperlink ref="C472" r:id="rId228" xr:uid="{00000000-0004-0000-0600-0000E3000000}"/>
    <hyperlink ref="C473" r:id="rId229" xr:uid="{00000000-0004-0000-0600-0000E4000000}"/>
    <hyperlink ref="C474" r:id="rId230" xr:uid="{00000000-0004-0000-0600-0000E5000000}"/>
    <hyperlink ref="C475" r:id="rId231" xr:uid="{00000000-0004-0000-0600-0000E6000000}"/>
    <hyperlink ref="C476" r:id="rId232" xr:uid="{00000000-0004-0000-0600-0000E7000000}"/>
    <hyperlink ref="C598" r:id="rId233" xr:uid="{00000000-0004-0000-0600-0000E8000000}"/>
    <hyperlink ref="C599" r:id="rId234" xr:uid="{00000000-0004-0000-0600-0000E9000000}"/>
    <hyperlink ref="C600" r:id="rId235" xr:uid="{00000000-0004-0000-0600-0000EA000000}"/>
    <hyperlink ref="C601" r:id="rId236" xr:uid="{00000000-0004-0000-0600-0000EB000000}"/>
    <hyperlink ref="C602" r:id="rId237" xr:uid="{00000000-0004-0000-0600-0000EC000000}"/>
    <hyperlink ref="C603" r:id="rId238" xr:uid="{00000000-0004-0000-0600-0000ED000000}"/>
    <hyperlink ref="C604" r:id="rId239" xr:uid="{00000000-0004-0000-0600-0000EE000000}"/>
    <hyperlink ref="C605" r:id="rId240" xr:uid="{00000000-0004-0000-0600-0000EF000000}"/>
    <hyperlink ref="C578" r:id="rId241" xr:uid="{00000000-0004-0000-0600-0000F0000000}"/>
    <hyperlink ref="C579" r:id="rId242" xr:uid="{00000000-0004-0000-0600-0000F1000000}"/>
    <hyperlink ref="C580" r:id="rId243" xr:uid="{00000000-0004-0000-0600-0000F2000000}"/>
    <hyperlink ref="C581" r:id="rId244" xr:uid="{00000000-0004-0000-0600-0000F3000000}"/>
    <hyperlink ref="C582" r:id="rId245" xr:uid="{00000000-0004-0000-0600-0000F4000000}"/>
    <hyperlink ref="C583" r:id="rId246" xr:uid="{00000000-0004-0000-0600-0000F5000000}"/>
    <hyperlink ref="C584" r:id="rId247" xr:uid="{00000000-0004-0000-0600-0000F6000000}"/>
    <hyperlink ref="C585" r:id="rId248" xr:uid="{00000000-0004-0000-0600-0000F7000000}"/>
    <hyperlink ref="C548" r:id="rId249" xr:uid="{00000000-0004-0000-0600-0000F8000000}"/>
    <hyperlink ref="C549" r:id="rId250" xr:uid="{00000000-0004-0000-0600-0000F9000000}"/>
    <hyperlink ref="C550" r:id="rId251" xr:uid="{00000000-0004-0000-0600-0000FA000000}"/>
    <hyperlink ref="C551" r:id="rId252" xr:uid="{00000000-0004-0000-0600-0000FB000000}"/>
    <hyperlink ref="C552" r:id="rId253" xr:uid="{00000000-0004-0000-0600-0000FC000000}"/>
    <hyperlink ref="C553" r:id="rId254" xr:uid="{00000000-0004-0000-0600-0000FD000000}"/>
    <hyperlink ref="C572" r:id="rId255" xr:uid="{00000000-0004-0000-0600-0000FE000000}"/>
    <hyperlink ref="C573" r:id="rId256" xr:uid="{00000000-0004-0000-0600-0000FF000000}"/>
    <hyperlink ref="C574" r:id="rId257" xr:uid="{00000000-0004-0000-0600-000000010000}"/>
    <hyperlink ref="C575" r:id="rId258" xr:uid="{00000000-0004-0000-0600-000001010000}"/>
    <hyperlink ref="C693" r:id="rId259" xr:uid="{00000000-0004-0000-0600-000002010000}"/>
    <hyperlink ref="C694" r:id="rId260" xr:uid="{00000000-0004-0000-0600-000003010000}"/>
    <hyperlink ref="C695" r:id="rId261" xr:uid="{00000000-0004-0000-0600-000004010000}"/>
    <hyperlink ref="C696" r:id="rId262" xr:uid="{00000000-0004-0000-0600-000005010000}"/>
    <hyperlink ref="C697" r:id="rId263" xr:uid="{00000000-0004-0000-0600-000006010000}"/>
    <hyperlink ref="C698" r:id="rId264" xr:uid="{00000000-0004-0000-0600-000007010000}"/>
    <hyperlink ref="C699" r:id="rId265" xr:uid="{00000000-0004-0000-0600-000008010000}"/>
    <hyperlink ref="C320" r:id="rId266" xr:uid="{00000000-0004-0000-0600-000009010000}"/>
    <hyperlink ref="C321" r:id="rId267" xr:uid="{00000000-0004-0000-0600-00000A010000}"/>
    <hyperlink ref="C322" r:id="rId268" xr:uid="{00000000-0004-0000-0600-00000B010000}"/>
    <hyperlink ref="C323" r:id="rId269" xr:uid="{00000000-0004-0000-0600-00000C010000}"/>
    <hyperlink ref="C324" r:id="rId270" xr:uid="{00000000-0004-0000-0600-00000D010000}"/>
    <hyperlink ref="C325" r:id="rId271" xr:uid="{00000000-0004-0000-0600-00000E010000}"/>
    <hyperlink ref="C326" r:id="rId272" xr:uid="{00000000-0004-0000-0600-00000F010000}"/>
    <hyperlink ref="C327" r:id="rId273" xr:uid="{00000000-0004-0000-0600-000010010000}"/>
    <hyperlink ref="C328" r:id="rId274" xr:uid="{00000000-0004-0000-0600-000011010000}"/>
    <hyperlink ref="C329" r:id="rId275" xr:uid="{00000000-0004-0000-0600-000012010000}"/>
    <hyperlink ref="C330" r:id="rId276" xr:uid="{00000000-0004-0000-0600-000013010000}"/>
    <hyperlink ref="C331" r:id="rId277" xr:uid="{00000000-0004-0000-0600-000014010000}"/>
    <hyperlink ref="C332" r:id="rId278" xr:uid="{00000000-0004-0000-0600-000015010000}"/>
    <hyperlink ref="C333" r:id="rId279" xr:uid="{00000000-0004-0000-0600-000016010000}"/>
    <hyperlink ref="C334" r:id="rId280" xr:uid="{00000000-0004-0000-0600-000017010000}"/>
    <hyperlink ref="C335" r:id="rId281" xr:uid="{00000000-0004-0000-0600-000018010000}"/>
    <hyperlink ref="C336" r:id="rId282" xr:uid="{00000000-0004-0000-0600-000019010000}"/>
    <hyperlink ref="C337" r:id="rId283" xr:uid="{00000000-0004-0000-0600-00001A010000}"/>
    <hyperlink ref="C338" r:id="rId284" xr:uid="{00000000-0004-0000-0600-00001B010000}"/>
    <hyperlink ref="C339" r:id="rId285" xr:uid="{00000000-0004-0000-0600-00001C010000}"/>
    <hyperlink ref="C340" r:id="rId286" xr:uid="{00000000-0004-0000-0600-00001D010000}"/>
    <hyperlink ref="C341" r:id="rId287" xr:uid="{00000000-0004-0000-0600-00001E010000}"/>
    <hyperlink ref="C543" r:id="rId288" xr:uid="{00000000-0004-0000-0600-00001F010000}"/>
    <hyperlink ref="C544" r:id="rId289" xr:uid="{00000000-0004-0000-0600-000020010000}"/>
    <hyperlink ref="C357" r:id="rId290" xr:uid="{00000000-0004-0000-0600-000021010000}"/>
    <hyperlink ref="C358" r:id="rId291" xr:uid="{00000000-0004-0000-0600-000022010000}"/>
    <hyperlink ref="C359" r:id="rId292" xr:uid="{00000000-0004-0000-0600-000023010000}"/>
    <hyperlink ref="C360" r:id="rId293" xr:uid="{00000000-0004-0000-0600-000024010000}"/>
    <hyperlink ref="C361" r:id="rId294" xr:uid="{00000000-0004-0000-0600-000025010000}"/>
    <hyperlink ref="C362" r:id="rId295" xr:uid="{00000000-0004-0000-0600-000026010000}"/>
    <hyperlink ref="C363" r:id="rId296" xr:uid="{00000000-0004-0000-0600-000027010000}"/>
    <hyperlink ref="C364" r:id="rId297" xr:uid="{00000000-0004-0000-0600-000028010000}"/>
    <hyperlink ref="C365" r:id="rId298" xr:uid="{00000000-0004-0000-0600-000029010000}"/>
    <hyperlink ref="C366" r:id="rId299" xr:uid="{00000000-0004-0000-0600-00002A010000}"/>
    <hyperlink ref="C367" r:id="rId300" xr:uid="{00000000-0004-0000-0600-00002B010000}"/>
    <hyperlink ref="C368" r:id="rId301" xr:uid="{00000000-0004-0000-0600-00002C010000}"/>
    <hyperlink ref="C369" r:id="rId302" xr:uid="{00000000-0004-0000-0600-00002D010000}"/>
    <hyperlink ref="C370" r:id="rId303" xr:uid="{00000000-0004-0000-0600-00002E010000}"/>
    <hyperlink ref="C371" r:id="rId304" xr:uid="{00000000-0004-0000-0600-00002F010000}"/>
    <hyperlink ref="C372" r:id="rId305" xr:uid="{00000000-0004-0000-0600-000030010000}"/>
    <hyperlink ref="C373" r:id="rId306" xr:uid="{00000000-0004-0000-0600-000031010000}"/>
    <hyperlink ref="C374" r:id="rId307" xr:uid="{00000000-0004-0000-0600-000032010000}"/>
    <hyperlink ref="C375" r:id="rId308" xr:uid="{00000000-0004-0000-0600-000033010000}"/>
    <hyperlink ref="C376" r:id="rId309" xr:uid="{00000000-0004-0000-0600-000034010000}"/>
    <hyperlink ref="C377" r:id="rId310" xr:uid="{00000000-0004-0000-0600-000035010000}"/>
    <hyperlink ref="C378" r:id="rId311" xr:uid="{00000000-0004-0000-0600-000036010000}"/>
    <hyperlink ref="C379" r:id="rId312" xr:uid="{00000000-0004-0000-0600-000037010000}"/>
    <hyperlink ref="C380" r:id="rId313" xr:uid="{00000000-0004-0000-0600-000038010000}"/>
    <hyperlink ref="C381" r:id="rId314" xr:uid="{00000000-0004-0000-0600-000039010000}"/>
    <hyperlink ref="C382" r:id="rId315" xr:uid="{00000000-0004-0000-0600-00003A010000}"/>
    <hyperlink ref="C383" r:id="rId316" xr:uid="{00000000-0004-0000-0600-00003B010000}"/>
    <hyperlink ref="C384" r:id="rId317" xr:uid="{00000000-0004-0000-0600-00003C010000}"/>
    <hyperlink ref="C656" r:id="rId318" xr:uid="{00000000-0004-0000-0600-00003D010000}"/>
    <hyperlink ref="C657" r:id="rId319" xr:uid="{00000000-0004-0000-0600-00003E010000}"/>
    <hyperlink ref="C658" r:id="rId320" xr:uid="{00000000-0004-0000-0600-00003F010000}"/>
    <hyperlink ref="C659" r:id="rId321" xr:uid="{00000000-0004-0000-0600-000040010000}"/>
    <hyperlink ref="C660" r:id="rId322" xr:uid="{00000000-0004-0000-0600-000041010000}"/>
    <hyperlink ref="C661" r:id="rId323" xr:uid="{00000000-0004-0000-0600-000042010000}"/>
    <hyperlink ref="C662" r:id="rId324" xr:uid="{00000000-0004-0000-0600-000043010000}"/>
    <hyperlink ref="C663" r:id="rId325" xr:uid="{00000000-0004-0000-0600-000044010000}"/>
    <hyperlink ref="C664" r:id="rId326" xr:uid="{00000000-0004-0000-0600-000045010000}"/>
    <hyperlink ref="C700" r:id="rId327" xr:uid="{00000000-0004-0000-0600-000046010000}"/>
    <hyperlink ref="C701" r:id="rId328" xr:uid="{00000000-0004-0000-0600-000047010000}"/>
    <hyperlink ref="C702" r:id="rId329" xr:uid="{00000000-0004-0000-0600-000048010000}"/>
    <hyperlink ref="C282" r:id="rId330" xr:uid="{00000000-0004-0000-0600-000049010000}"/>
    <hyperlink ref="C283" r:id="rId331" xr:uid="{00000000-0004-0000-0600-00004A010000}"/>
    <hyperlink ref="C284" r:id="rId332" xr:uid="{00000000-0004-0000-0600-00004B010000}"/>
    <hyperlink ref="C436" r:id="rId333" xr:uid="{00000000-0004-0000-0600-00004C010000}"/>
    <hyperlink ref="C437" r:id="rId334" xr:uid="{00000000-0004-0000-0600-00004D010000}"/>
    <hyperlink ref="C438" r:id="rId335" xr:uid="{00000000-0004-0000-0600-00004E010000}"/>
    <hyperlink ref="C439" r:id="rId336" xr:uid="{00000000-0004-0000-0600-00004F010000}"/>
    <hyperlink ref="C440" r:id="rId337" xr:uid="{00000000-0004-0000-0600-000050010000}"/>
    <hyperlink ref="C441" r:id="rId338" xr:uid="{00000000-0004-0000-0600-000051010000}"/>
    <hyperlink ref="C442" r:id="rId339" xr:uid="{00000000-0004-0000-0600-000052010000}"/>
    <hyperlink ref="C443" r:id="rId340" xr:uid="{00000000-0004-0000-0600-000053010000}"/>
    <hyperlink ref="C444" r:id="rId341" xr:uid="{00000000-0004-0000-0600-000054010000}"/>
    <hyperlink ref="C445" r:id="rId342" xr:uid="{00000000-0004-0000-0600-000055010000}"/>
    <hyperlink ref="C446" r:id="rId343" xr:uid="{00000000-0004-0000-0600-000056010000}"/>
    <hyperlink ref="C447" r:id="rId344" xr:uid="{00000000-0004-0000-0600-000057010000}"/>
    <hyperlink ref="C448" r:id="rId345" xr:uid="{00000000-0004-0000-0600-000058010000}"/>
    <hyperlink ref="C449" r:id="rId346" xr:uid="{00000000-0004-0000-0600-000059010000}"/>
    <hyperlink ref="C450" r:id="rId347" xr:uid="{00000000-0004-0000-0600-00005A010000}"/>
    <hyperlink ref="C626" r:id="rId348" xr:uid="{00000000-0004-0000-0600-00005B010000}"/>
    <hyperlink ref="C627" r:id="rId349" xr:uid="{00000000-0004-0000-0600-00005C010000}"/>
    <hyperlink ref="C628" r:id="rId350" xr:uid="{00000000-0004-0000-0600-00005D010000}"/>
    <hyperlink ref="C629" r:id="rId351" xr:uid="{00000000-0004-0000-0600-00005E010000}"/>
    <hyperlink ref="C630" r:id="rId352" xr:uid="{00000000-0004-0000-0600-00005F010000}"/>
    <hyperlink ref="C631" r:id="rId353" xr:uid="{00000000-0004-0000-0600-000060010000}"/>
    <hyperlink ref="C304" r:id="rId354" xr:uid="{00000000-0004-0000-0600-000061010000}"/>
    <hyperlink ref="C305" r:id="rId355" xr:uid="{00000000-0004-0000-0600-000062010000}"/>
    <hyperlink ref="C306" r:id="rId356" xr:uid="{00000000-0004-0000-0600-000063010000}"/>
    <hyperlink ref="C307" r:id="rId357" xr:uid="{00000000-0004-0000-0600-000064010000}"/>
    <hyperlink ref="C308" r:id="rId358" xr:uid="{00000000-0004-0000-0600-000065010000}"/>
    <hyperlink ref="C309" r:id="rId359" xr:uid="{00000000-0004-0000-0600-000066010000}"/>
    <hyperlink ref="C310" r:id="rId360" xr:uid="{00000000-0004-0000-0600-000067010000}"/>
    <hyperlink ref="C311" r:id="rId361" xr:uid="{00000000-0004-0000-0600-000068010000}"/>
    <hyperlink ref="C312" r:id="rId362" xr:uid="{00000000-0004-0000-0600-000069010000}"/>
    <hyperlink ref="C313" r:id="rId363" xr:uid="{00000000-0004-0000-0600-00006A010000}"/>
    <hyperlink ref="C317" r:id="rId364" xr:uid="{00000000-0004-0000-0600-00006B010000}"/>
    <hyperlink ref="C318" r:id="rId365" xr:uid="{00000000-0004-0000-0600-00006C010000}"/>
    <hyperlink ref="C319" r:id="rId366" xr:uid="{00000000-0004-0000-0600-00006D010000}"/>
    <hyperlink ref="C673" r:id="rId367" xr:uid="{00000000-0004-0000-0600-00006E010000}"/>
    <hyperlink ref="C674" r:id="rId368" xr:uid="{00000000-0004-0000-0600-00006F010000}"/>
    <hyperlink ref="C675" r:id="rId369" xr:uid="{00000000-0004-0000-0600-000070010000}"/>
    <hyperlink ref="C676" r:id="rId370" xr:uid="{00000000-0004-0000-0600-000071010000}"/>
    <hyperlink ref="C677" r:id="rId371" xr:uid="{00000000-0004-0000-0600-000072010000}"/>
    <hyperlink ref="C678" r:id="rId372" xr:uid="{00000000-0004-0000-0600-000073010000}"/>
    <hyperlink ref="C272" r:id="rId373" xr:uid="{00000000-0004-0000-0600-000074010000}"/>
    <hyperlink ref="C273" r:id="rId374" xr:uid="{00000000-0004-0000-0600-000075010000}"/>
    <hyperlink ref="C274" r:id="rId375" xr:uid="{00000000-0004-0000-0600-000076010000}"/>
    <hyperlink ref="C275" r:id="rId376" xr:uid="{00000000-0004-0000-0600-000077010000}"/>
    <hyperlink ref="C276" r:id="rId377" xr:uid="{00000000-0004-0000-0600-000078010000}"/>
    <hyperlink ref="C277" r:id="rId378" xr:uid="{00000000-0004-0000-0600-000079010000}"/>
    <hyperlink ref="C278" r:id="rId379" xr:uid="{00000000-0004-0000-0600-00007A010000}"/>
    <hyperlink ref="C279" r:id="rId380" xr:uid="{00000000-0004-0000-0600-00007B010000}"/>
    <hyperlink ref="C280" r:id="rId381" xr:uid="{00000000-0004-0000-0600-00007C010000}"/>
    <hyperlink ref="C512" r:id="rId382" xr:uid="{00000000-0004-0000-0600-00007D010000}"/>
    <hyperlink ref="C513" r:id="rId383" xr:uid="{00000000-0004-0000-0600-00007E010000}"/>
    <hyperlink ref="C514" r:id="rId384" xr:uid="{00000000-0004-0000-0600-00007F010000}"/>
    <hyperlink ref="C515" r:id="rId385" xr:uid="{00000000-0004-0000-0600-000080010000}"/>
    <hyperlink ref="C516" r:id="rId386" xr:uid="{00000000-0004-0000-0600-000081010000}"/>
    <hyperlink ref="C517" r:id="rId387" xr:uid="{00000000-0004-0000-0600-000082010000}"/>
    <hyperlink ref="C518" r:id="rId388" xr:uid="{00000000-0004-0000-0600-000083010000}"/>
    <hyperlink ref="C519" r:id="rId389" xr:uid="{00000000-0004-0000-0600-000084010000}"/>
    <hyperlink ref="C520" r:id="rId390" xr:uid="{00000000-0004-0000-0600-000085010000}"/>
    <hyperlink ref="C521" r:id="rId391" xr:uid="{00000000-0004-0000-0600-000086010000}"/>
    <hyperlink ref="C522" r:id="rId392" xr:uid="{00000000-0004-0000-0600-000087010000}"/>
    <hyperlink ref="C523" r:id="rId393" xr:uid="{00000000-0004-0000-0600-000088010000}"/>
    <hyperlink ref="C524" r:id="rId394" xr:uid="{00000000-0004-0000-0600-000089010000}"/>
    <hyperlink ref="C525" r:id="rId395" xr:uid="{00000000-0004-0000-0600-00008A010000}"/>
    <hyperlink ref="C526" r:id="rId396" xr:uid="{00000000-0004-0000-0600-00008B010000}"/>
    <hyperlink ref="C527" r:id="rId397" xr:uid="{00000000-0004-0000-0600-00008C010000}"/>
    <hyperlink ref="C528" r:id="rId398" xr:uid="{00000000-0004-0000-0600-00008D010000}"/>
    <hyperlink ref="C529" r:id="rId399" xr:uid="{00000000-0004-0000-0600-00008E010000}"/>
    <hyperlink ref="C530" r:id="rId400" xr:uid="{00000000-0004-0000-0600-00008F010000}"/>
    <hyperlink ref="C531" r:id="rId401" xr:uid="{00000000-0004-0000-0600-000090010000}"/>
    <hyperlink ref="C532" r:id="rId402" xr:uid="{00000000-0004-0000-0600-000091010000}"/>
    <hyperlink ref="C637" r:id="rId403" xr:uid="{00000000-0004-0000-0600-000092010000}"/>
    <hyperlink ref="C638" r:id="rId404" xr:uid="{00000000-0004-0000-0600-000093010000}"/>
    <hyperlink ref="C639" r:id="rId405" xr:uid="{00000000-0004-0000-0600-000094010000}"/>
    <hyperlink ref="C262" r:id="rId406" xr:uid="{00000000-0004-0000-0600-000095010000}"/>
    <hyperlink ref="C263" r:id="rId407" xr:uid="{00000000-0004-0000-0600-000096010000}"/>
    <hyperlink ref="C392" r:id="rId408" xr:uid="{00000000-0004-0000-0600-000097010000}"/>
    <hyperlink ref="C393" r:id="rId409" xr:uid="{00000000-0004-0000-0600-000098010000}"/>
    <hyperlink ref="C394" r:id="rId410" xr:uid="{00000000-0004-0000-0600-000099010000}"/>
    <hyperlink ref="C395" r:id="rId411" xr:uid="{00000000-0004-0000-0600-00009A010000}"/>
    <hyperlink ref="C396" r:id="rId412" xr:uid="{00000000-0004-0000-0600-00009B010000}"/>
    <hyperlink ref="C397" r:id="rId413" xr:uid="{00000000-0004-0000-0600-00009C010000}"/>
    <hyperlink ref="C398" r:id="rId414" xr:uid="{00000000-0004-0000-0600-00009D010000}"/>
    <hyperlink ref="C399" r:id="rId415" xr:uid="{00000000-0004-0000-0600-00009E010000}"/>
    <hyperlink ref="C400" r:id="rId416" xr:uid="{00000000-0004-0000-0600-00009F010000}"/>
    <hyperlink ref="C401" r:id="rId417" xr:uid="{00000000-0004-0000-0600-0000A0010000}"/>
    <hyperlink ref="C477" r:id="rId418" xr:uid="{00000000-0004-0000-0600-0000A1010000}"/>
    <hyperlink ref="C478" r:id="rId419" xr:uid="{00000000-0004-0000-0600-0000A2010000}"/>
    <hyperlink ref="C479" r:id="rId420" xr:uid="{00000000-0004-0000-0600-0000A3010000}"/>
    <hyperlink ref="C480" r:id="rId421" xr:uid="{00000000-0004-0000-0600-0000A4010000}"/>
    <hyperlink ref="C481" r:id="rId422" xr:uid="{00000000-0004-0000-0600-0000A5010000}"/>
    <hyperlink ref="C482" r:id="rId423" xr:uid="{00000000-0004-0000-0600-0000A6010000}"/>
    <hyperlink ref="C483" r:id="rId424" xr:uid="{00000000-0004-0000-0600-0000A7010000}"/>
    <hyperlink ref="C484" r:id="rId425" xr:uid="{00000000-0004-0000-0600-0000A8010000}"/>
    <hyperlink ref="C485" r:id="rId426" xr:uid="{00000000-0004-0000-0600-0000A9010000}"/>
    <hyperlink ref="C486" r:id="rId427" xr:uid="{00000000-0004-0000-0600-0000AA010000}"/>
    <hyperlink ref="C487" r:id="rId428" xr:uid="{00000000-0004-0000-0600-0000AB010000}"/>
    <hyperlink ref="C488" r:id="rId429" xr:uid="{00000000-0004-0000-0600-0000AC010000}"/>
    <hyperlink ref="C489" r:id="rId430" xr:uid="{00000000-0004-0000-0600-0000AD010000}"/>
    <hyperlink ref="C490" r:id="rId431" xr:uid="{00000000-0004-0000-0600-0000AE010000}"/>
    <hyperlink ref="C491" r:id="rId432" xr:uid="{00000000-0004-0000-0600-0000AF010000}"/>
    <hyperlink ref="C492" r:id="rId433" xr:uid="{00000000-0004-0000-0600-0000B0010000}"/>
    <hyperlink ref="C606" r:id="rId434" xr:uid="{00000000-0004-0000-0600-0000B1010000}"/>
    <hyperlink ref="C607" r:id="rId435" xr:uid="{00000000-0004-0000-0600-0000B2010000}"/>
    <hyperlink ref="C608" r:id="rId436" xr:uid="{00000000-0004-0000-0600-0000B3010000}"/>
    <hyperlink ref="C609" r:id="rId437" xr:uid="{00000000-0004-0000-0600-0000B4010000}"/>
    <hyperlink ref="C610" r:id="rId438" xr:uid="{00000000-0004-0000-0600-0000B5010000}"/>
    <hyperlink ref="C611" r:id="rId439" xr:uid="{00000000-0004-0000-0600-0000B6010000}"/>
    <hyperlink ref="C586" r:id="rId440" xr:uid="{00000000-0004-0000-0600-0000B7010000}"/>
    <hyperlink ref="C587" r:id="rId441" xr:uid="{00000000-0004-0000-0600-0000B8010000}"/>
    <hyperlink ref="C588" r:id="rId442" xr:uid="{00000000-0004-0000-0600-0000B9010000}"/>
    <hyperlink ref="C554" r:id="rId443" xr:uid="{00000000-0004-0000-0600-0000BA010000}"/>
    <hyperlink ref="C555" r:id="rId444" xr:uid="{00000000-0004-0000-0600-0000BB010000}"/>
    <hyperlink ref="C556" r:id="rId445" xr:uid="{00000000-0004-0000-0600-0000BC010000}"/>
    <hyperlink ref="C557" r:id="rId446" xr:uid="{00000000-0004-0000-0600-0000BD010000}"/>
    <hyperlink ref="C558" r:id="rId447" xr:uid="{00000000-0004-0000-0600-0000BE010000}"/>
    <hyperlink ref="C559" r:id="rId448" xr:uid="{00000000-0004-0000-0600-0000BF010000}"/>
    <hyperlink ref="C560" r:id="rId449" xr:uid="{00000000-0004-0000-0600-0000C0010000}"/>
    <hyperlink ref="C561" r:id="rId450" xr:uid="{00000000-0004-0000-0600-0000C1010000}"/>
    <hyperlink ref="C562" r:id="rId451" xr:uid="{00000000-0004-0000-0600-0000C2010000}"/>
    <hyperlink ref="C156" r:id="rId452" xr:uid="{00000000-0004-0000-0600-0000C3010000}"/>
    <hyperlink ref="C157" r:id="rId453" xr:uid="{00000000-0004-0000-0600-0000C4010000}"/>
    <hyperlink ref="C159" r:id="rId454" xr:uid="{00000000-0004-0000-0600-0000C5010000}"/>
    <hyperlink ref="C158" r:id="rId455" xr:uid="{00000000-0004-0000-0600-0000C6010000}"/>
    <hyperlink ref="C213" r:id="rId456" xr:uid="{00000000-0004-0000-0600-0000C7010000}"/>
    <hyperlink ref="C211" r:id="rId457" xr:uid="{00000000-0004-0000-0600-0000C8010000}"/>
    <hyperlink ref="C210" r:id="rId458" xr:uid="{00000000-0004-0000-0600-0000C9010000}"/>
    <hyperlink ref="C216" r:id="rId459" xr:uid="{00000000-0004-0000-0600-0000CA010000}"/>
    <hyperlink ref="C215" r:id="rId460" xr:uid="{00000000-0004-0000-0600-0000CB010000}"/>
    <hyperlink ref="C214" r:id="rId461" xr:uid="{00000000-0004-0000-0600-0000CC010000}"/>
    <hyperlink ref="C212" r:id="rId462" xr:uid="{00000000-0004-0000-0600-0000CD010000}"/>
    <hyperlink ref="C46" r:id="rId463" xr:uid="{00000000-0004-0000-0600-0000CE010000}"/>
    <hyperlink ref="C50" r:id="rId464" xr:uid="{00000000-0004-0000-0600-0000CF010000}"/>
    <hyperlink ref="C58" r:id="rId465" xr:uid="{00000000-0004-0000-0600-0000D0010000}"/>
    <hyperlink ref="C41" r:id="rId466" xr:uid="{00000000-0004-0000-0600-0000D1010000}"/>
    <hyperlink ref="C67" r:id="rId467" xr:uid="{00000000-0004-0000-0600-0000D2010000}"/>
    <hyperlink ref="C63" r:id="rId468" xr:uid="{00000000-0004-0000-0600-0000D3010000}"/>
    <hyperlink ref="C62" r:id="rId469" xr:uid="{00000000-0004-0000-0600-0000D4010000}"/>
    <hyperlink ref="C47" r:id="rId470" xr:uid="{00000000-0004-0000-0600-0000D5010000}"/>
    <hyperlink ref="C44" r:id="rId471" xr:uid="{00000000-0004-0000-0600-0000D6010000}"/>
    <hyperlink ref="C55" r:id="rId472" xr:uid="{00000000-0004-0000-0600-0000D7010000}"/>
    <hyperlink ref="C54" r:id="rId473" xr:uid="{00000000-0004-0000-0600-0000D8010000}"/>
    <hyperlink ref="C59" r:id="rId474" xr:uid="{00000000-0004-0000-0600-0000D9010000}"/>
    <hyperlink ref="C61" r:id="rId475" xr:uid="{00000000-0004-0000-0600-0000DA010000}"/>
    <hyperlink ref="C68" r:id="rId476" xr:uid="{00000000-0004-0000-0600-0000DB010000}"/>
    <hyperlink ref="C48" r:id="rId477" xr:uid="{00000000-0004-0000-0600-0000DC010000}"/>
    <hyperlink ref="C43" r:id="rId478" xr:uid="{00000000-0004-0000-0600-0000DD010000}"/>
    <hyperlink ref="C56" r:id="rId479" xr:uid="{00000000-0004-0000-0600-0000DE010000}"/>
    <hyperlink ref="C52" r:id="rId480" xr:uid="{00000000-0004-0000-0600-0000DF010000}"/>
    <hyperlink ref="C57" r:id="rId481" xr:uid="{00000000-0004-0000-0600-0000E0010000}"/>
    <hyperlink ref="C42" r:id="rId482" xr:uid="{00000000-0004-0000-0600-0000E1010000}"/>
    <hyperlink ref="C66" r:id="rId483" xr:uid="{00000000-0004-0000-0600-0000E2010000}"/>
    <hyperlink ref="C45" r:id="rId484" xr:uid="{00000000-0004-0000-0600-0000E3010000}"/>
    <hyperlink ref="C60" r:id="rId485" xr:uid="{00000000-0004-0000-0600-0000E4010000}"/>
    <hyperlink ref="C49" r:id="rId486" xr:uid="{00000000-0004-0000-0600-0000E5010000}"/>
    <hyperlink ref="C53" r:id="rId487" xr:uid="{00000000-0004-0000-0600-0000E6010000}"/>
    <hyperlink ref="C65" r:id="rId488" xr:uid="{00000000-0004-0000-0600-0000E7010000}"/>
    <hyperlink ref="C51" r:id="rId489" xr:uid="{00000000-0004-0000-0600-0000E8010000}"/>
    <hyperlink ref="C64" r:id="rId490" xr:uid="{00000000-0004-0000-0600-0000E9010000}"/>
    <hyperlink ref="C40" r:id="rId491" xr:uid="{00000000-0004-0000-0600-0000EA010000}"/>
    <hyperlink ref="C138" r:id="rId492" xr:uid="{00000000-0004-0000-0600-0000EB010000}"/>
    <hyperlink ref="C136" r:id="rId493" xr:uid="{00000000-0004-0000-0600-0000EC010000}"/>
    <hyperlink ref="C137" r:id="rId494" xr:uid="{00000000-0004-0000-0600-0000ED010000}"/>
    <hyperlink ref="C135" r:id="rId495" xr:uid="{00000000-0004-0000-0600-0000EE010000}"/>
    <hyperlink ref="C139" r:id="rId496" xr:uid="{00000000-0004-0000-0600-0000EF010000}"/>
    <hyperlink ref="C73" r:id="rId497" xr:uid="{00000000-0004-0000-0600-0000F0010000}"/>
    <hyperlink ref="C74" r:id="rId498" xr:uid="{00000000-0004-0000-0600-0000F1010000}"/>
    <hyperlink ref="C69" r:id="rId499" xr:uid="{00000000-0004-0000-0600-0000F2010000}"/>
    <hyperlink ref="C71" r:id="rId500" xr:uid="{00000000-0004-0000-0600-0000F3010000}"/>
    <hyperlink ref="C70" r:id="rId501" xr:uid="{00000000-0004-0000-0600-0000F4010000}"/>
    <hyperlink ref="C72" r:id="rId502" xr:uid="{00000000-0004-0000-0600-0000F5010000}"/>
    <hyperlink ref="C197" r:id="rId503" xr:uid="{00000000-0004-0000-0600-0000F6010000}"/>
    <hyperlink ref="C190" r:id="rId504" xr:uid="{00000000-0004-0000-0600-0000F7010000}"/>
    <hyperlink ref="C198" r:id="rId505" xr:uid="{00000000-0004-0000-0600-0000F8010000}"/>
    <hyperlink ref="C199" r:id="rId506" xr:uid="{00000000-0004-0000-0600-0000F9010000}"/>
    <hyperlink ref="C193" r:id="rId507" xr:uid="{00000000-0004-0000-0600-0000FA010000}"/>
    <hyperlink ref="C189" r:id="rId508" xr:uid="{00000000-0004-0000-0600-0000FB010000}"/>
    <hyperlink ref="C186" r:id="rId509" xr:uid="{00000000-0004-0000-0600-0000FC010000}"/>
    <hyperlink ref="C192" r:id="rId510" xr:uid="{00000000-0004-0000-0600-0000FD010000}"/>
    <hyperlink ref="C185" r:id="rId511" xr:uid="{00000000-0004-0000-0600-0000FE010000}"/>
    <hyperlink ref="C191" r:id="rId512" xr:uid="{00000000-0004-0000-0600-0000FF010000}"/>
    <hyperlink ref="C195" r:id="rId513" xr:uid="{00000000-0004-0000-0600-000000020000}"/>
    <hyperlink ref="C196" r:id="rId514" xr:uid="{00000000-0004-0000-0600-000001020000}"/>
    <hyperlink ref="C188" r:id="rId515" xr:uid="{00000000-0004-0000-0600-000002020000}"/>
    <hyperlink ref="C182" r:id="rId516" xr:uid="{00000000-0004-0000-0600-000003020000}"/>
    <hyperlink ref="C194" r:id="rId517" xr:uid="{00000000-0004-0000-0600-000004020000}"/>
    <hyperlink ref="C184" r:id="rId518" xr:uid="{00000000-0004-0000-0600-000005020000}"/>
    <hyperlink ref="C183" r:id="rId519" xr:uid="{00000000-0004-0000-0600-000006020000}"/>
    <hyperlink ref="C187" r:id="rId520" xr:uid="{00000000-0004-0000-0600-000007020000}"/>
    <hyperlink ref="C200" r:id="rId521" xr:uid="{00000000-0004-0000-0600-000008020000}"/>
    <hyperlink ref="C10" r:id="rId522" xr:uid="{00000000-0004-0000-0600-000009020000}"/>
    <hyperlink ref="C11" r:id="rId523" xr:uid="{00000000-0004-0000-0600-00000A020000}"/>
    <hyperlink ref="C12" r:id="rId524" xr:uid="{00000000-0004-0000-0600-00000B020000}"/>
    <hyperlink ref="C84" r:id="rId525" xr:uid="{00000000-0004-0000-0600-00000C020000}"/>
    <hyperlink ref="C93" r:id="rId526" xr:uid="{00000000-0004-0000-0600-00000D020000}"/>
    <hyperlink ref="C86" r:id="rId527" xr:uid="{00000000-0004-0000-0600-00000E020000}"/>
    <hyperlink ref="C81" r:id="rId528" xr:uid="{00000000-0004-0000-0600-00000F020000}"/>
    <hyperlink ref="C80" r:id="rId529" xr:uid="{00000000-0004-0000-0600-000010020000}"/>
    <hyperlink ref="C89" r:id="rId530" xr:uid="{00000000-0004-0000-0600-000011020000}"/>
    <hyperlink ref="C87" r:id="rId531" xr:uid="{00000000-0004-0000-0600-000012020000}"/>
    <hyperlink ref="C88" r:id="rId532" xr:uid="{00000000-0004-0000-0600-000013020000}"/>
    <hyperlink ref="C83" r:id="rId533" xr:uid="{00000000-0004-0000-0600-000014020000}"/>
    <hyperlink ref="C82" r:id="rId534" xr:uid="{00000000-0004-0000-0600-000015020000}"/>
    <hyperlink ref="C85" r:id="rId535" xr:uid="{00000000-0004-0000-0600-000016020000}"/>
    <hyperlink ref="C91" r:id="rId536" xr:uid="{00000000-0004-0000-0600-000017020000}"/>
    <hyperlink ref="C90" r:id="rId537" xr:uid="{00000000-0004-0000-0600-000018020000}"/>
    <hyperlink ref="C92" r:id="rId538" xr:uid="{00000000-0004-0000-0600-000019020000}"/>
    <hyperlink ref="C174" r:id="rId539" xr:uid="{00000000-0004-0000-0600-00001A020000}"/>
    <hyperlink ref="C179" r:id="rId540" xr:uid="{00000000-0004-0000-0600-00001B020000}"/>
    <hyperlink ref="C176" r:id="rId541" xr:uid="{00000000-0004-0000-0600-00001C020000}"/>
    <hyperlink ref="C177" r:id="rId542" xr:uid="{00000000-0004-0000-0600-00001D020000}"/>
    <hyperlink ref="C178" r:id="rId543" xr:uid="{00000000-0004-0000-0600-00001E020000}"/>
    <hyperlink ref="C173" r:id="rId544" xr:uid="{00000000-0004-0000-0600-00001F020000}"/>
    <hyperlink ref="C180" r:id="rId545" xr:uid="{00000000-0004-0000-0600-000020020000}"/>
    <hyperlink ref="C175" r:id="rId546" xr:uid="{00000000-0004-0000-0600-000021020000}"/>
    <hyperlink ref="C17" r:id="rId547" xr:uid="{00000000-0004-0000-0600-000022020000}"/>
    <hyperlink ref="C19" r:id="rId548" xr:uid="{00000000-0004-0000-0600-000023020000}"/>
    <hyperlink ref="C29" r:id="rId549" xr:uid="{00000000-0004-0000-0600-000024020000}"/>
    <hyperlink ref="C25" r:id="rId550" xr:uid="{00000000-0004-0000-0600-000025020000}"/>
    <hyperlink ref="C15" r:id="rId551" xr:uid="{00000000-0004-0000-0600-000026020000}"/>
    <hyperlink ref="C14" r:id="rId552" xr:uid="{00000000-0004-0000-0600-000027020000}"/>
    <hyperlink ref="C13" r:id="rId553" xr:uid="{00000000-0004-0000-0600-000028020000}"/>
    <hyperlink ref="C20" r:id="rId554" xr:uid="{00000000-0004-0000-0600-000029020000}"/>
    <hyperlink ref="C18" r:id="rId555" xr:uid="{00000000-0004-0000-0600-00002A020000}"/>
    <hyperlink ref="C24" r:id="rId556" xr:uid="{00000000-0004-0000-0600-00002B020000}"/>
    <hyperlink ref="C21" r:id="rId557" xr:uid="{00000000-0004-0000-0600-00002C020000}"/>
    <hyperlink ref="C23" r:id="rId558" xr:uid="{00000000-0004-0000-0600-00002D020000}"/>
    <hyperlink ref="C16" r:id="rId559" xr:uid="{00000000-0004-0000-0600-00002E020000}"/>
    <hyperlink ref="C26" r:id="rId560" xr:uid="{00000000-0004-0000-0600-00002F020000}"/>
    <hyperlink ref="C27" r:id="rId561" xr:uid="{00000000-0004-0000-0600-000030020000}"/>
    <hyperlink ref="C22" r:id="rId562" xr:uid="{00000000-0004-0000-0600-000031020000}"/>
    <hyperlink ref="C28" r:id="rId563" xr:uid="{00000000-0004-0000-0600-000032020000}"/>
    <hyperlink ref="C38" r:id="rId564" xr:uid="{00000000-0004-0000-0600-000033020000}"/>
    <hyperlink ref="C35" r:id="rId565" xr:uid="{00000000-0004-0000-0600-000034020000}"/>
    <hyperlink ref="C32" r:id="rId566" xr:uid="{00000000-0004-0000-0600-000035020000}"/>
    <hyperlink ref="C34" r:id="rId567" xr:uid="{00000000-0004-0000-0600-000036020000}"/>
    <hyperlink ref="C31" r:id="rId568" xr:uid="{00000000-0004-0000-0600-000037020000}"/>
    <hyperlink ref="C33" r:id="rId569" xr:uid="{00000000-0004-0000-0600-000038020000}"/>
    <hyperlink ref="C30" r:id="rId570" xr:uid="{00000000-0004-0000-0600-000039020000}"/>
    <hyperlink ref="C36" r:id="rId571" xr:uid="{00000000-0004-0000-0600-00003A020000}"/>
    <hyperlink ref="C39" r:id="rId572" xr:uid="{00000000-0004-0000-0600-00003B020000}"/>
    <hyperlink ref="C37" r:id="rId573" xr:uid="{00000000-0004-0000-0600-00003C020000}"/>
    <hyperlink ref="C205" r:id="rId574" xr:uid="{00000000-0004-0000-0600-00003D020000}"/>
    <hyperlink ref="C202" r:id="rId575" xr:uid="{00000000-0004-0000-0600-00003E020000}"/>
    <hyperlink ref="C209" r:id="rId576" xr:uid="{00000000-0004-0000-0600-00003F020000}"/>
    <hyperlink ref="C204" r:id="rId577" xr:uid="{00000000-0004-0000-0600-000040020000}"/>
    <hyperlink ref="C203" r:id="rId578" xr:uid="{00000000-0004-0000-0600-000041020000}"/>
    <hyperlink ref="C206" r:id="rId579" xr:uid="{00000000-0004-0000-0600-000042020000}"/>
    <hyperlink ref="C208" r:id="rId580" xr:uid="{00000000-0004-0000-0600-000043020000}"/>
    <hyperlink ref="C207" r:id="rId581" xr:uid="{00000000-0004-0000-0600-000044020000}"/>
    <hyperlink ref="C8" r:id="rId582" xr:uid="{00000000-0004-0000-0600-000045020000}"/>
    <hyperlink ref="C5" r:id="rId583" xr:uid="{00000000-0004-0000-0600-000046020000}"/>
    <hyperlink ref="C9" r:id="rId584" xr:uid="{00000000-0004-0000-0600-000047020000}"/>
    <hyperlink ref="C6" r:id="rId585" xr:uid="{00000000-0004-0000-0600-000048020000}"/>
    <hyperlink ref="C7" r:id="rId586" xr:uid="{00000000-0004-0000-0600-000049020000}"/>
    <hyperlink ref="C4" r:id="rId587" xr:uid="{00000000-0004-0000-0600-00004A020000}"/>
    <hyperlink ref="C128" r:id="rId588" xr:uid="{00000000-0004-0000-0600-00004B020000}"/>
    <hyperlink ref="C129" r:id="rId589" xr:uid="{00000000-0004-0000-0600-00004C020000}"/>
    <hyperlink ref="C122" r:id="rId590" xr:uid="{00000000-0004-0000-0600-00004D020000}"/>
    <hyperlink ref="C130" r:id="rId591" xr:uid="{00000000-0004-0000-0600-00004E020000}"/>
    <hyperlink ref="C124" r:id="rId592" xr:uid="{00000000-0004-0000-0600-00004F020000}"/>
    <hyperlink ref="C125" r:id="rId593" xr:uid="{00000000-0004-0000-0600-000050020000}"/>
    <hyperlink ref="C133" r:id="rId594" xr:uid="{00000000-0004-0000-0600-000051020000}"/>
    <hyperlink ref="C131" r:id="rId595" xr:uid="{00000000-0004-0000-0600-000052020000}"/>
    <hyperlink ref="C114" r:id="rId596" xr:uid="{00000000-0004-0000-0600-000053020000}"/>
    <hyperlink ref="C132" r:id="rId597" xr:uid="{00000000-0004-0000-0600-000054020000}"/>
    <hyperlink ref="C134" r:id="rId598" xr:uid="{00000000-0004-0000-0600-000055020000}"/>
    <hyperlink ref="C115" r:id="rId599" xr:uid="{00000000-0004-0000-0600-000056020000}"/>
    <hyperlink ref="C116" r:id="rId600" xr:uid="{00000000-0004-0000-0600-000057020000}"/>
    <hyperlink ref="C119" r:id="rId601" xr:uid="{00000000-0004-0000-0600-000058020000}"/>
    <hyperlink ref="C127" r:id="rId602" xr:uid="{00000000-0004-0000-0600-000059020000}"/>
    <hyperlink ref="C117" r:id="rId603" xr:uid="{00000000-0004-0000-0600-00005A020000}"/>
    <hyperlink ref="C120" r:id="rId604" xr:uid="{00000000-0004-0000-0600-00005B020000}"/>
    <hyperlink ref="C118" r:id="rId605" xr:uid="{00000000-0004-0000-0600-00005C020000}"/>
    <hyperlink ref="C121" r:id="rId606" xr:uid="{00000000-0004-0000-0600-00005D020000}"/>
    <hyperlink ref="C126" r:id="rId607" xr:uid="{00000000-0004-0000-0600-00005E020000}"/>
    <hyperlink ref="C123" r:id="rId608" xr:uid="{00000000-0004-0000-0600-00005F020000}"/>
    <hyperlink ref="C181" r:id="rId609" xr:uid="{00000000-0004-0000-0600-000060020000}"/>
    <hyperlink ref="C2" r:id="rId610" xr:uid="{00000000-0004-0000-0600-000061020000}"/>
    <hyperlink ref="C3" r:id="rId611" xr:uid="{00000000-0004-0000-0600-000062020000}"/>
    <hyperlink ref="C77" r:id="rId612" xr:uid="{00000000-0004-0000-0600-000063020000}"/>
    <hyperlink ref="C79" r:id="rId613" xr:uid="{00000000-0004-0000-0600-000064020000}"/>
    <hyperlink ref="C75" r:id="rId614" xr:uid="{00000000-0004-0000-0600-000065020000}"/>
    <hyperlink ref="C78" r:id="rId615" xr:uid="{00000000-0004-0000-0600-000066020000}"/>
    <hyperlink ref="C76" r:id="rId616" xr:uid="{00000000-0004-0000-0600-000067020000}"/>
    <hyperlink ref="C101" r:id="rId617" xr:uid="{00000000-0004-0000-0600-000068020000}"/>
    <hyperlink ref="C94" r:id="rId618" xr:uid="{00000000-0004-0000-0600-000069020000}"/>
    <hyperlink ref="C113" r:id="rId619" xr:uid="{00000000-0004-0000-0600-00006A020000}"/>
    <hyperlink ref="C98" r:id="rId620" xr:uid="{00000000-0004-0000-0600-00006B020000}"/>
    <hyperlink ref="C109" r:id="rId621" xr:uid="{00000000-0004-0000-0600-00006C020000}"/>
    <hyperlink ref="C105" r:id="rId622" xr:uid="{00000000-0004-0000-0600-00006D020000}"/>
    <hyperlink ref="C104" r:id="rId623" xr:uid="{00000000-0004-0000-0600-00006E020000}"/>
    <hyperlink ref="C112" r:id="rId624" xr:uid="{00000000-0004-0000-0600-00006F020000}"/>
    <hyperlink ref="C107" r:id="rId625" xr:uid="{00000000-0004-0000-0600-000070020000}"/>
    <hyperlink ref="C108" r:id="rId626" xr:uid="{00000000-0004-0000-0600-000071020000}"/>
    <hyperlink ref="C110" r:id="rId627" xr:uid="{00000000-0004-0000-0600-000072020000}"/>
    <hyperlink ref="C96" r:id="rId628" xr:uid="{00000000-0004-0000-0600-000073020000}"/>
    <hyperlink ref="C95" r:id="rId629" xr:uid="{00000000-0004-0000-0600-000074020000}"/>
    <hyperlink ref="C97" r:id="rId630" xr:uid="{00000000-0004-0000-0600-000075020000}"/>
    <hyperlink ref="C102" r:id="rId631" xr:uid="{00000000-0004-0000-0600-000076020000}"/>
    <hyperlink ref="C99" r:id="rId632" xr:uid="{00000000-0004-0000-0600-000077020000}"/>
    <hyperlink ref="C111" r:id="rId633" xr:uid="{00000000-0004-0000-0600-000078020000}"/>
    <hyperlink ref="C100" r:id="rId634" xr:uid="{00000000-0004-0000-0600-000079020000}"/>
    <hyperlink ref="C106" r:id="rId635" xr:uid="{00000000-0004-0000-0600-00007A020000}"/>
    <hyperlink ref="C103" r:id="rId636" xr:uid="{00000000-0004-0000-0600-00007B020000}"/>
    <hyperlink ref="C171" r:id="rId637" xr:uid="{00000000-0004-0000-0600-00007C020000}"/>
    <hyperlink ref="C167" r:id="rId638" xr:uid="{00000000-0004-0000-0600-00007D020000}"/>
    <hyperlink ref="C168" r:id="rId639" xr:uid="{00000000-0004-0000-0600-00007E020000}"/>
    <hyperlink ref="C170" r:id="rId640" xr:uid="{00000000-0004-0000-0600-00007F020000}"/>
    <hyperlink ref="C164" r:id="rId641" xr:uid="{00000000-0004-0000-0600-000080020000}"/>
    <hyperlink ref="C172" r:id="rId642" xr:uid="{00000000-0004-0000-0600-000081020000}"/>
    <hyperlink ref="C165" r:id="rId643" xr:uid="{00000000-0004-0000-0600-000082020000}"/>
    <hyperlink ref="C169" r:id="rId644" xr:uid="{00000000-0004-0000-0600-000083020000}"/>
    <hyperlink ref="C166" r:id="rId645" xr:uid="{00000000-0004-0000-0600-000084020000}"/>
    <hyperlink ref="C163" r:id="rId646" xr:uid="{00000000-0004-0000-0600-000085020000}"/>
    <hyperlink ref="C160" r:id="rId647" xr:uid="{00000000-0004-0000-0600-000086020000}"/>
    <hyperlink ref="C162" r:id="rId648" xr:uid="{00000000-0004-0000-0600-000087020000}"/>
    <hyperlink ref="C161" r:id="rId649" xr:uid="{00000000-0004-0000-0600-000088020000}"/>
    <hyperlink ref="C154" r:id="rId650" xr:uid="{00000000-0004-0000-0600-000089020000}"/>
    <hyperlink ref="C144" r:id="rId651" xr:uid="{00000000-0004-0000-0600-00008A020000}"/>
    <hyperlink ref="C140" r:id="rId652" xr:uid="{00000000-0004-0000-0600-00008B020000}"/>
    <hyperlink ref="C150" r:id="rId653" xr:uid="{00000000-0004-0000-0600-00008C020000}"/>
    <hyperlink ref="C145" r:id="rId654" xr:uid="{00000000-0004-0000-0600-00008D020000}"/>
    <hyperlink ref="C155" r:id="rId655" xr:uid="{00000000-0004-0000-0600-00008E020000}"/>
    <hyperlink ref="C151" r:id="rId656" xr:uid="{00000000-0004-0000-0600-00008F020000}"/>
    <hyperlink ref="C142" r:id="rId657" xr:uid="{00000000-0004-0000-0600-000090020000}"/>
    <hyperlink ref="C147" r:id="rId658" xr:uid="{00000000-0004-0000-0600-000091020000}"/>
    <hyperlink ref="C143" r:id="rId659" xr:uid="{00000000-0004-0000-0600-000092020000}"/>
    <hyperlink ref="C152" r:id="rId660" xr:uid="{00000000-0004-0000-0600-000093020000}"/>
    <hyperlink ref="C153" r:id="rId661" xr:uid="{00000000-0004-0000-0600-000094020000}"/>
    <hyperlink ref="C146" r:id="rId662" xr:uid="{00000000-0004-0000-0600-000095020000}"/>
    <hyperlink ref="C149" r:id="rId663" xr:uid="{00000000-0004-0000-0600-000096020000}"/>
    <hyperlink ref="C141" r:id="rId664" xr:uid="{00000000-0004-0000-0600-000097020000}"/>
    <hyperlink ref="C148" r:id="rId665" xr:uid="{00000000-0004-0000-0600-000098020000}"/>
    <hyperlink ref="C232" r:id="rId666" xr:uid="{00000000-0004-0000-0600-000099020000}"/>
    <hyperlink ref="C233" r:id="rId667" xr:uid="{00000000-0004-0000-0600-00009A020000}"/>
    <hyperlink ref="C250" r:id="rId668" xr:uid="{00000000-0004-0000-0600-00009B020000}"/>
    <hyperlink ref="C251" r:id="rId669" xr:uid="{00000000-0004-0000-0600-00009C020000}"/>
    <hyperlink ref="C219" r:id="rId670" xr:uid="{00000000-0004-0000-0600-00009D020000}"/>
    <hyperlink ref="C220" r:id="rId671" xr:uid="{00000000-0004-0000-0600-00009E020000}"/>
    <hyperlink ref="C221" r:id="rId672" xr:uid="{00000000-0004-0000-0600-00009F020000}"/>
    <hyperlink ref="C222" r:id="rId673" xr:uid="{00000000-0004-0000-0600-0000A0020000}"/>
    <hyperlink ref="C238" r:id="rId674" xr:uid="{00000000-0004-0000-0600-0000A1020000}"/>
    <hyperlink ref="C239" r:id="rId675" xr:uid="{00000000-0004-0000-0600-0000A2020000}"/>
    <hyperlink ref="C240" r:id="rId676" xr:uid="{00000000-0004-0000-0600-0000A3020000}"/>
    <hyperlink ref="C241" r:id="rId677" xr:uid="{00000000-0004-0000-0600-0000A4020000}"/>
    <hyperlink ref="C242" r:id="rId678" xr:uid="{00000000-0004-0000-0600-0000A5020000}"/>
    <hyperlink ref="C217" r:id="rId679" xr:uid="{00000000-0004-0000-0600-0000A6020000}"/>
    <hyperlink ref="C236" r:id="rId680" xr:uid="{00000000-0004-0000-0600-0000A7020000}"/>
    <hyperlink ref="C237" r:id="rId681" xr:uid="{00000000-0004-0000-0600-0000A8020000}"/>
    <hyperlink ref="C218" r:id="rId682" xr:uid="{00000000-0004-0000-0600-0000A9020000}"/>
    <hyperlink ref="C243" r:id="rId683" xr:uid="{00000000-0004-0000-0600-0000AA020000}"/>
    <hyperlink ref="C244" r:id="rId684" xr:uid="{00000000-0004-0000-0600-0000AB020000}"/>
    <hyperlink ref="C245" r:id="rId685" xr:uid="{00000000-0004-0000-0600-0000AC020000}"/>
    <hyperlink ref="C246" r:id="rId686" xr:uid="{00000000-0004-0000-0600-0000AD020000}"/>
    <hyperlink ref="C247" r:id="rId687" xr:uid="{00000000-0004-0000-0600-0000AE020000}"/>
    <hyperlink ref="C248" r:id="rId688" xr:uid="{00000000-0004-0000-0600-0000AF020000}"/>
    <hyperlink ref="C249" r:id="rId689" xr:uid="{00000000-0004-0000-0600-0000B0020000}"/>
    <hyperlink ref="C225" r:id="rId690" xr:uid="{00000000-0004-0000-0600-0000B1020000}"/>
    <hyperlink ref="C226" r:id="rId691" xr:uid="{00000000-0004-0000-0600-0000B2020000}"/>
    <hyperlink ref="C227" r:id="rId692" xr:uid="{00000000-0004-0000-0600-0000B3020000}"/>
    <hyperlink ref="C223" r:id="rId693" xr:uid="{00000000-0004-0000-0600-0000B4020000}"/>
    <hyperlink ref="C224" r:id="rId694" xr:uid="{00000000-0004-0000-0600-0000B5020000}"/>
    <hyperlink ref="C234" r:id="rId695" xr:uid="{00000000-0004-0000-0600-0000B6020000}"/>
    <hyperlink ref="C235" r:id="rId696" xr:uid="{00000000-0004-0000-0600-0000B7020000}"/>
    <hyperlink ref="C228" r:id="rId697" xr:uid="{00000000-0004-0000-0600-0000B8020000}"/>
    <hyperlink ref="C229" r:id="rId698" xr:uid="{00000000-0004-0000-0600-0000B9020000}"/>
    <hyperlink ref="C230" r:id="rId699" xr:uid="{00000000-0004-0000-0600-0000BA020000}"/>
    <hyperlink ref="C231" r:id="rId700" xr:uid="{00000000-0004-0000-0600-0000BB020000}"/>
  </hyperlinks>
  <pageMargins left="0.511811024" right="0.511811024" top="0.78740157499999996" bottom="0.78740157499999996" header="0.31496062000000002" footer="0.31496062000000002"/>
  <pageSetup paperSize="9" orientation="portrait" r:id="rId701"/>
  <legacyDrawing r:id="rId702"/>
  <tableParts count="1">
    <tablePart r:id="rId70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CF697-C4BE-4539-981D-C61B71DEFBE5}">
  <dimension ref="A1:H136"/>
  <sheetViews>
    <sheetView showGridLines="0" tabSelected="1" workbookViewId="0">
      <selection activeCell="J15" sqref="J15"/>
    </sheetView>
  </sheetViews>
  <sheetFormatPr defaultRowHeight="14.4"/>
  <cols>
    <col min="1" max="1" width="7.5546875" bestFit="1" customWidth="1"/>
    <col min="2" max="2" width="6.6640625" bestFit="1" customWidth="1"/>
    <col min="3" max="3" width="16.44140625" bestFit="1" customWidth="1"/>
    <col min="4" max="4" width="12" bestFit="1" customWidth="1"/>
    <col min="5" max="5" width="14.6640625" bestFit="1" customWidth="1"/>
  </cols>
  <sheetData>
    <row r="1" spans="1:8">
      <c r="A1" t="s">
        <v>1082</v>
      </c>
      <c r="B1" t="s">
        <v>855</v>
      </c>
      <c r="C1" t="s">
        <v>1083</v>
      </c>
      <c r="D1" t="s">
        <v>1084</v>
      </c>
      <c r="E1" t="s">
        <v>1085</v>
      </c>
      <c r="H1" t="s">
        <v>1086</v>
      </c>
    </row>
    <row r="2" spans="1:8">
      <c r="A2">
        <v>1</v>
      </c>
      <c r="B2">
        <v>1</v>
      </c>
      <c r="C2" s="318" t="s">
        <v>641</v>
      </c>
      <c r="D2">
        <v>100000</v>
      </c>
      <c r="E2">
        <v>635406.16</v>
      </c>
    </row>
    <row r="3" spans="1:8">
      <c r="A3">
        <v>1</v>
      </c>
      <c r="B3">
        <v>2</v>
      </c>
      <c r="C3" s="318" t="s">
        <v>641</v>
      </c>
      <c r="D3">
        <v>100000</v>
      </c>
      <c r="E3">
        <v>300000</v>
      </c>
    </row>
    <row r="4" spans="1:8">
      <c r="A4">
        <v>1</v>
      </c>
      <c r="B4">
        <v>3</v>
      </c>
      <c r="C4" s="318" t="s">
        <v>763</v>
      </c>
      <c r="D4">
        <v>349000</v>
      </c>
      <c r="E4">
        <v>2485061.86</v>
      </c>
    </row>
    <row r="5" spans="1:8">
      <c r="A5">
        <v>1</v>
      </c>
      <c r="B5">
        <v>7</v>
      </c>
      <c r="C5" s="318" t="s">
        <v>763</v>
      </c>
      <c r="E5">
        <v>539000</v>
      </c>
    </row>
    <row r="6" spans="1:8">
      <c r="A6">
        <v>1</v>
      </c>
      <c r="B6">
        <v>8</v>
      </c>
      <c r="C6" s="318" t="s">
        <v>763</v>
      </c>
      <c r="D6">
        <v>100000</v>
      </c>
      <c r="E6">
        <v>400000</v>
      </c>
    </row>
    <row r="7" spans="1:8">
      <c r="A7">
        <v>2</v>
      </c>
      <c r="B7">
        <v>1</v>
      </c>
      <c r="C7" s="318" t="s">
        <v>641</v>
      </c>
      <c r="D7">
        <v>7158886.6400000006</v>
      </c>
      <c r="E7">
        <v>9149159.9000000004</v>
      </c>
    </row>
    <row r="8" spans="1:8">
      <c r="A8">
        <v>2</v>
      </c>
      <c r="B8">
        <v>2</v>
      </c>
      <c r="C8" s="318" t="s">
        <v>641</v>
      </c>
      <c r="D8">
        <v>416924.15</v>
      </c>
      <c r="E8">
        <v>789951.17</v>
      </c>
    </row>
    <row r="9" spans="1:8">
      <c r="A9">
        <v>2</v>
      </c>
      <c r="B9">
        <v>3</v>
      </c>
      <c r="C9" s="318" t="s">
        <v>763</v>
      </c>
      <c r="D9">
        <v>44737241.099999994</v>
      </c>
      <c r="E9">
        <v>59976849.689999998</v>
      </c>
    </row>
    <row r="10" spans="1:8">
      <c r="A10">
        <v>2</v>
      </c>
      <c r="B10">
        <v>4</v>
      </c>
      <c r="C10" s="318" t="s">
        <v>763</v>
      </c>
      <c r="D10">
        <v>3650993.4</v>
      </c>
      <c r="E10">
        <v>14603973.6</v>
      </c>
    </row>
    <row r="11" spans="1:8">
      <c r="A11">
        <v>2</v>
      </c>
      <c r="B11">
        <v>8</v>
      </c>
      <c r="C11" s="318" t="s">
        <v>695</v>
      </c>
      <c r="D11">
        <v>210049.5</v>
      </c>
      <c r="E11">
        <v>880177.44</v>
      </c>
    </row>
    <row r="12" spans="1:8">
      <c r="A12">
        <v>2</v>
      </c>
      <c r="B12">
        <v>6</v>
      </c>
      <c r="C12" s="318" t="s">
        <v>695</v>
      </c>
      <c r="D12">
        <v>210470.45</v>
      </c>
      <c r="E12">
        <v>881941.33000000007</v>
      </c>
    </row>
    <row r="13" spans="1:8">
      <c r="A13">
        <v>2</v>
      </c>
      <c r="B13">
        <v>7</v>
      </c>
      <c r="C13" s="318" t="s">
        <v>763</v>
      </c>
      <c r="D13">
        <v>4500000</v>
      </c>
      <c r="E13">
        <v>17307411.210000001</v>
      </c>
    </row>
    <row r="14" spans="1:8">
      <c r="A14">
        <v>3</v>
      </c>
      <c r="B14">
        <v>1</v>
      </c>
      <c r="C14" s="318" t="s">
        <v>641</v>
      </c>
      <c r="D14">
        <v>150000</v>
      </c>
      <c r="E14">
        <v>300000</v>
      </c>
    </row>
    <row r="15" spans="1:8">
      <c r="A15">
        <v>3</v>
      </c>
      <c r="B15">
        <v>2</v>
      </c>
      <c r="C15" s="318" t="s">
        <v>641</v>
      </c>
      <c r="D15">
        <v>0</v>
      </c>
      <c r="E15">
        <v>200000</v>
      </c>
    </row>
    <row r="16" spans="1:8">
      <c r="A16">
        <v>3</v>
      </c>
      <c r="B16">
        <v>3</v>
      </c>
      <c r="C16" s="318" t="s">
        <v>763</v>
      </c>
      <c r="D16">
        <v>627244.21</v>
      </c>
      <c r="E16">
        <v>2777906.19</v>
      </c>
    </row>
    <row r="17" spans="1:5">
      <c r="A17">
        <v>3</v>
      </c>
      <c r="B17">
        <v>4</v>
      </c>
      <c r="C17" s="318" t="s">
        <v>695</v>
      </c>
      <c r="D17">
        <v>0</v>
      </c>
      <c r="E17">
        <v>424717.62</v>
      </c>
    </row>
    <row r="18" spans="1:5">
      <c r="A18">
        <v>3</v>
      </c>
      <c r="B18">
        <v>7</v>
      </c>
      <c r="C18" s="318" t="s">
        <v>763</v>
      </c>
      <c r="D18">
        <v>0</v>
      </c>
      <c r="E18">
        <v>1930372.72</v>
      </c>
    </row>
    <row r="19" spans="1:5">
      <c r="A19">
        <v>3</v>
      </c>
      <c r="B19">
        <v>8</v>
      </c>
      <c r="C19" s="318" t="s">
        <v>763</v>
      </c>
      <c r="D19">
        <v>219400</v>
      </c>
      <c r="E19">
        <v>856069.01</v>
      </c>
    </row>
    <row r="20" spans="1:5">
      <c r="A20">
        <v>4</v>
      </c>
      <c r="B20">
        <v>1</v>
      </c>
      <c r="C20" s="318" t="s">
        <v>641</v>
      </c>
      <c r="D20">
        <v>181283.22</v>
      </c>
      <c r="E20">
        <v>1652218.62</v>
      </c>
    </row>
    <row r="21" spans="1:5">
      <c r="A21">
        <v>4</v>
      </c>
      <c r="B21">
        <v>2</v>
      </c>
      <c r="C21" s="318" t="s">
        <v>641</v>
      </c>
      <c r="D21">
        <v>168623.6</v>
      </c>
      <c r="E21">
        <v>395601.64</v>
      </c>
    </row>
    <row r="22" spans="1:5">
      <c r="A22">
        <v>4</v>
      </c>
      <c r="B22">
        <v>3</v>
      </c>
      <c r="C22" s="318" t="s">
        <v>763</v>
      </c>
      <c r="D22">
        <v>2722003.9</v>
      </c>
      <c r="E22">
        <v>11263011.34</v>
      </c>
    </row>
    <row r="23" spans="1:5">
      <c r="A23">
        <v>4</v>
      </c>
      <c r="B23">
        <v>4</v>
      </c>
      <c r="C23" s="318" t="s">
        <v>763</v>
      </c>
      <c r="D23">
        <v>623091.43999999994</v>
      </c>
      <c r="E23">
        <v>1978008.18</v>
      </c>
    </row>
    <row r="24" spans="1:5">
      <c r="A24">
        <v>4</v>
      </c>
      <c r="B24">
        <v>5</v>
      </c>
      <c r="C24" s="318" t="s">
        <v>763</v>
      </c>
      <c r="D24">
        <v>1085427.18</v>
      </c>
      <c r="E24">
        <v>4491242.13</v>
      </c>
    </row>
    <row r="25" spans="1:5">
      <c r="A25">
        <v>4</v>
      </c>
      <c r="B25">
        <v>6</v>
      </c>
      <c r="C25" s="318" t="s">
        <v>695</v>
      </c>
      <c r="D25">
        <v>322816.2</v>
      </c>
      <c r="E25">
        <v>1186804.8999999999</v>
      </c>
    </row>
    <row r="26" spans="1:5">
      <c r="A26">
        <v>4</v>
      </c>
      <c r="B26">
        <v>8</v>
      </c>
      <c r="C26" s="318" t="s">
        <v>695</v>
      </c>
      <c r="D26">
        <v>520729.45999999996</v>
      </c>
      <c r="E26">
        <v>2303797.7800000003</v>
      </c>
    </row>
    <row r="27" spans="1:5">
      <c r="A27">
        <v>5</v>
      </c>
      <c r="B27">
        <v>1</v>
      </c>
      <c r="C27" s="318" t="s">
        <v>641</v>
      </c>
      <c r="D27">
        <v>0</v>
      </c>
      <c r="E27">
        <v>34895134.658266671</v>
      </c>
    </row>
    <row r="28" spans="1:5">
      <c r="A28">
        <v>5</v>
      </c>
      <c r="B28">
        <v>5</v>
      </c>
      <c r="C28" s="318" t="s">
        <v>763</v>
      </c>
      <c r="D28">
        <v>27262083.07</v>
      </c>
      <c r="E28">
        <v>27262083.07</v>
      </c>
    </row>
    <row r="29" spans="1:5">
      <c r="A29">
        <v>5</v>
      </c>
      <c r="B29">
        <v>2</v>
      </c>
      <c r="C29" s="318" t="s">
        <v>641</v>
      </c>
      <c r="D29">
        <v>0</v>
      </c>
      <c r="E29">
        <v>1500000</v>
      </c>
    </row>
    <row r="30" spans="1:5">
      <c r="A30">
        <v>5</v>
      </c>
      <c r="B30">
        <v>3</v>
      </c>
      <c r="C30" s="318" t="s">
        <v>763</v>
      </c>
      <c r="D30">
        <v>1788513.04</v>
      </c>
      <c r="E30">
        <v>5688513.04</v>
      </c>
    </row>
    <row r="31" spans="1:5">
      <c r="A31">
        <v>5</v>
      </c>
      <c r="B31">
        <v>4</v>
      </c>
      <c r="C31" s="318" t="s">
        <v>695</v>
      </c>
      <c r="D31">
        <v>0</v>
      </c>
      <c r="E31">
        <v>17905714.559999999</v>
      </c>
    </row>
    <row r="32" spans="1:5">
      <c r="A32">
        <v>5</v>
      </c>
      <c r="B32">
        <v>8</v>
      </c>
      <c r="C32" s="318" t="s">
        <v>695</v>
      </c>
      <c r="D32">
        <v>0</v>
      </c>
      <c r="E32">
        <v>1200000</v>
      </c>
    </row>
    <row r="33" spans="1:5">
      <c r="A33">
        <v>6</v>
      </c>
      <c r="B33">
        <v>1</v>
      </c>
      <c r="C33" s="318" t="s">
        <v>641</v>
      </c>
      <c r="D33">
        <v>29500000</v>
      </c>
      <c r="E33">
        <v>54100000</v>
      </c>
    </row>
    <row r="34" spans="1:5">
      <c r="A34">
        <v>6</v>
      </c>
      <c r="B34">
        <v>2</v>
      </c>
      <c r="C34" s="318" t="s">
        <v>641</v>
      </c>
      <c r="D34">
        <v>3000000</v>
      </c>
      <c r="E34">
        <v>5500000</v>
      </c>
    </row>
    <row r="35" spans="1:5">
      <c r="A35">
        <v>6</v>
      </c>
      <c r="B35">
        <v>3</v>
      </c>
      <c r="C35" s="318" t="s">
        <v>763</v>
      </c>
      <c r="D35">
        <v>50700000</v>
      </c>
      <c r="E35">
        <v>102200000</v>
      </c>
    </row>
    <row r="36" spans="1:5">
      <c r="A36">
        <v>6</v>
      </c>
      <c r="B36">
        <v>4</v>
      </c>
      <c r="C36" s="318" t="s">
        <v>763</v>
      </c>
      <c r="D36">
        <v>12750000</v>
      </c>
      <c r="E36">
        <v>33300000</v>
      </c>
    </row>
    <row r="37" spans="1:5">
      <c r="A37">
        <v>6</v>
      </c>
      <c r="B37">
        <v>5</v>
      </c>
      <c r="C37" s="318" t="s">
        <v>695</v>
      </c>
      <c r="D37">
        <v>9400000</v>
      </c>
      <c r="E37">
        <v>15400000</v>
      </c>
    </row>
    <row r="38" spans="1:5">
      <c r="A38">
        <v>6</v>
      </c>
      <c r="B38">
        <v>7</v>
      </c>
      <c r="C38" s="318" t="s">
        <v>763</v>
      </c>
      <c r="D38">
        <v>42400000</v>
      </c>
      <c r="E38">
        <v>89600000</v>
      </c>
    </row>
    <row r="39" spans="1:5">
      <c r="A39">
        <v>6</v>
      </c>
      <c r="B39">
        <v>8</v>
      </c>
      <c r="C39" s="318" t="s">
        <v>695</v>
      </c>
      <c r="D39">
        <v>4500000</v>
      </c>
      <c r="E39">
        <v>6700000</v>
      </c>
    </row>
    <row r="40" spans="1:5">
      <c r="A40">
        <v>7</v>
      </c>
      <c r="B40">
        <v>1</v>
      </c>
      <c r="C40" s="318" t="s">
        <v>641</v>
      </c>
      <c r="D40">
        <v>2900000</v>
      </c>
      <c r="E40">
        <v>7850000</v>
      </c>
    </row>
    <row r="41" spans="1:5">
      <c r="A41">
        <v>7</v>
      </c>
      <c r="B41">
        <v>2</v>
      </c>
      <c r="C41" s="318" t="s">
        <v>641</v>
      </c>
      <c r="D41">
        <v>0</v>
      </c>
      <c r="E41">
        <v>650000</v>
      </c>
    </row>
    <row r="42" spans="1:5">
      <c r="A42">
        <v>7</v>
      </c>
      <c r="B42">
        <v>3</v>
      </c>
      <c r="C42" s="318" t="s">
        <v>763</v>
      </c>
      <c r="D42">
        <v>600000</v>
      </c>
      <c r="E42">
        <v>2000000</v>
      </c>
    </row>
    <row r="43" spans="1:5">
      <c r="A43">
        <v>7</v>
      </c>
      <c r="B43">
        <v>4</v>
      </c>
      <c r="C43" s="318" t="s">
        <v>763</v>
      </c>
      <c r="D43">
        <v>0</v>
      </c>
      <c r="E43">
        <v>5650000</v>
      </c>
    </row>
    <row r="44" spans="1:5">
      <c r="A44">
        <v>7</v>
      </c>
      <c r="B44">
        <v>5</v>
      </c>
      <c r="C44" s="318" t="s">
        <v>695</v>
      </c>
      <c r="D44">
        <v>900000</v>
      </c>
      <c r="E44">
        <v>900000</v>
      </c>
    </row>
    <row r="45" spans="1:5">
      <c r="A45">
        <v>7</v>
      </c>
      <c r="B45">
        <v>7</v>
      </c>
      <c r="C45" s="318" t="s">
        <v>763</v>
      </c>
      <c r="D45">
        <v>6550000</v>
      </c>
      <c r="E45">
        <v>19151336.289999999</v>
      </c>
    </row>
    <row r="46" spans="1:5">
      <c r="A46">
        <v>7</v>
      </c>
      <c r="B46">
        <v>8</v>
      </c>
      <c r="C46" s="318" t="s">
        <v>695</v>
      </c>
      <c r="D46">
        <v>950000</v>
      </c>
      <c r="E46">
        <v>3550000</v>
      </c>
    </row>
    <row r="47" spans="1:5">
      <c r="A47">
        <v>8</v>
      </c>
      <c r="B47">
        <v>1</v>
      </c>
      <c r="C47" s="318" t="s">
        <v>641</v>
      </c>
      <c r="D47">
        <v>1250000</v>
      </c>
      <c r="E47">
        <v>2200000</v>
      </c>
    </row>
    <row r="48" spans="1:5">
      <c r="A48">
        <v>8</v>
      </c>
      <c r="B48">
        <v>3</v>
      </c>
      <c r="C48" s="318" t="s">
        <v>763</v>
      </c>
      <c r="D48">
        <v>1000000</v>
      </c>
      <c r="E48">
        <v>5400000</v>
      </c>
    </row>
    <row r="49" spans="1:5">
      <c r="A49">
        <v>8</v>
      </c>
      <c r="B49">
        <v>4</v>
      </c>
      <c r="C49" s="318" t="s">
        <v>763</v>
      </c>
      <c r="E49">
        <v>900000</v>
      </c>
    </row>
    <row r="50" spans="1:5">
      <c r="A50">
        <v>8</v>
      </c>
      <c r="B50">
        <v>5</v>
      </c>
      <c r="C50" s="318" t="s">
        <v>763</v>
      </c>
      <c r="D50">
        <v>400000</v>
      </c>
      <c r="E50">
        <v>2900000</v>
      </c>
    </row>
    <row r="51" spans="1:5">
      <c r="A51">
        <v>8</v>
      </c>
      <c r="B51">
        <v>8</v>
      </c>
      <c r="C51" s="318" t="s">
        <v>695</v>
      </c>
      <c r="E51">
        <v>1150000</v>
      </c>
    </row>
    <row r="52" spans="1:5">
      <c r="A52">
        <v>9</v>
      </c>
      <c r="B52">
        <v>3</v>
      </c>
      <c r="C52" s="318" t="s">
        <v>763</v>
      </c>
      <c r="D52">
        <v>5073240</v>
      </c>
      <c r="E52">
        <v>25335380</v>
      </c>
    </row>
    <row r="53" spans="1:5">
      <c r="A53">
        <v>9</v>
      </c>
      <c r="B53">
        <v>1</v>
      </c>
      <c r="C53" s="318" t="s">
        <v>641</v>
      </c>
      <c r="D53">
        <v>681480</v>
      </c>
      <c r="E53">
        <v>3178260</v>
      </c>
    </row>
    <row r="54" spans="1:5">
      <c r="A54">
        <v>9</v>
      </c>
      <c r="B54">
        <v>2</v>
      </c>
      <c r="C54" s="318" t="s">
        <v>641</v>
      </c>
      <c r="D54">
        <v>0</v>
      </c>
      <c r="E54">
        <v>450000</v>
      </c>
    </row>
    <row r="55" spans="1:5">
      <c r="A55">
        <v>9</v>
      </c>
      <c r="B55">
        <v>4</v>
      </c>
      <c r="C55" s="318" t="s">
        <v>763</v>
      </c>
      <c r="D55">
        <v>1211520</v>
      </c>
      <c r="E55">
        <v>6050240</v>
      </c>
    </row>
    <row r="56" spans="1:5">
      <c r="A56">
        <v>9</v>
      </c>
      <c r="B56">
        <v>5</v>
      </c>
      <c r="C56" s="318" t="s">
        <v>695</v>
      </c>
      <c r="D56">
        <v>1195803</v>
      </c>
      <c r="E56">
        <v>5010813.18</v>
      </c>
    </row>
    <row r="57" spans="1:5">
      <c r="A57">
        <v>9</v>
      </c>
      <c r="B57">
        <v>6</v>
      </c>
      <c r="C57" s="318" t="s">
        <v>695</v>
      </c>
      <c r="D57">
        <v>378600</v>
      </c>
      <c r="E57">
        <v>1665700</v>
      </c>
    </row>
    <row r="58" spans="1:5">
      <c r="A58">
        <v>9</v>
      </c>
      <c r="B58">
        <v>8</v>
      </c>
      <c r="C58" s="318" t="s">
        <v>695</v>
      </c>
      <c r="D58">
        <v>227160</v>
      </c>
      <c r="E58">
        <v>1134420</v>
      </c>
    </row>
    <row r="59" spans="1:5">
      <c r="A59">
        <v>10</v>
      </c>
      <c r="B59">
        <v>1</v>
      </c>
      <c r="C59" s="318" t="s">
        <v>641</v>
      </c>
      <c r="D59">
        <v>1880000</v>
      </c>
      <c r="E59">
        <v>3030000</v>
      </c>
    </row>
    <row r="60" spans="1:5">
      <c r="A60">
        <v>10</v>
      </c>
      <c r="B60">
        <v>2</v>
      </c>
      <c r="C60" s="318" t="s">
        <v>641</v>
      </c>
      <c r="D60">
        <v>0</v>
      </c>
      <c r="E60">
        <v>1800000</v>
      </c>
    </row>
    <row r="61" spans="1:5">
      <c r="A61">
        <v>10</v>
      </c>
      <c r="B61">
        <v>3</v>
      </c>
      <c r="C61" s="318" t="s">
        <v>763</v>
      </c>
      <c r="D61">
        <v>16500000</v>
      </c>
      <c r="E61">
        <v>31350000</v>
      </c>
    </row>
    <row r="62" spans="1:5">
      <c r="A62">
        <v>10</v>
      </c>
      <c r="B62">
        <v>4</v>
      </c>
      <c r="C62" s="318" t="s">
        <v>763</v>
      </c>
      <c r="D62">
        <v>500000</v>
      </c>
      <c r="E62">
        <v>2000000</v>
      </c>
    </row>
    <row r="63" spans="1:5">
      <c r="A63">
        <v>10</v>
      </c>
      <c r="B63">
        <v>5</v>
      </c>
      <c r="C63" s="318" t="s">
        <v>763</v>
      </c>
      <c r="D63">
        <v>0</v>
      </c>
      <c r="E63">
        <v>1500000</v>
      </c>
    </row>
    <row r="64" spans="1:5">
      <c r="A64">
        <v>10</v>
      </c>
      <c r="B64">
        <v>7</v>
      </c>
      <c r="C64" s="318" t="s">
        <v>695</v>
      </c>
      <c r="D64">
        <v>1500000</v>
      </c>
      <c r="E64">
        <v>3600000</v>
      </c>
    </row>
    <row r="65" spans="1:5">
      <c r="A65">
        <v>10</v>
      </c>
      <c r="B65">
        <v>8</v>
      </c>
      <c r="C65" s="318" t="s">
        <v>695</v>
      </c>
      <c r="D65">
        <v>400000</v>
      </c>
      <c r="E65">
        <v>1500000</v>
      </c>
    </row>
    <row r="66" spans="1:5">
      <c r="A66">
        <v>11</v>
      </c>
      <c r="B66">
        <v>1</v>
      </c>
      <c r="C66" s="318" t="s">
        <v>641</v>
      </c>
      <c r="D66">
        <v>1036400</v>
      </c>
      <c r="E66">
        <v>3676400</v>
      </c>
    </row>
    <row r="67" spans="1:5">
      <c r="A67">
        <v>11</v>
      </c>
      <c r="B67">
        <v>2</v>
      </c>
      <c r="C67" s="318" t="s">
        <v>641</v>
      </c>
      <c r="E67">
        <v>720000</v>
      </c>
    </row>
    <row r="68" spans="1:5">
      <c r="A68">
        <v>11</v>
      </c>
      <c r="B68">
        <v>3</v>
      </c>
      <c r="C68" s="318" t="s">
        <v>763</v>
      </c>
      <c r="D68">
        <v>3624400</v>
      </c>
      <c r="E68">
        <v>13613400</v>
      </c>
    </row>
    <row r="69" spans="1:5">
      <c r="A69">
        <v>11</v>
      </c>
      <c r="B69">
        <v>4</v>
      </c>
      <c r="C69" s="318" t="s">
        <v>763</v>
      </c>
      <c r="D69">
        <v>300000</v>
      </c>
      <c r="E69">
        <v>1138000</v>
      </c>
    </row>
    <row r="70" spans="1:5">
      <c r="A70">
        <v>11</v>
      </c>
      <c r="B70">
        <v>6</v>
      </c>
      <c r="C70" s="318" t="s">
        <v>695</v>
      </c>
      <c r="E70">
        <v>200000</v>
      </c>
    </row>
    <row r="71" spans="1:5">
      <c r="A71">
        <v>11</v>
      </c>
      <c r="B71">
        <v>7</v>
      </c>
      <c r="C71" s="318" t="s">
        <v>763</v>
      </c>
      <c r="D71">
        <v>1800000</v>
      </c>
      <c r="E71">
        <v>7000000</v>
      </c>
    </row>
    <row r="72" spans="1:5">
      <c r="A72">
        <v>11</v>
      </c>
      <c r="B72">
        <v>8</v>
      </c>
      <c r="C72" s="318" t="s">
        <v>695</v>
      </c>
      <c r="D72">
        <v>500000</v>
      </c>
      <c r="E72">
        <v>2645000</v>
      </c>
    </row>
    <row r="73" spans="1:5">
      <c r="A73">
        <v>12</v>
      </c>
      <c r="B73">
        <v>1</v>
      </c>
      <c r="C73" s="318" t="s">
        <v>641</v>
      </c>
      <c r="D73">
        <v>348556</v>
      </c>
      <c r="E73">
        <v>1105732.49</v>
      </c>
    </row>
    <row r="74" spans="1:5">
      <c r="A74">
        <v>12</v>
      </c>
      <c r="B74">
        <v>3</v>
      </c>
      <c r="C74" s="318" t="s">
        <v>763</v>
      </c>
      <c r="D74">
        <v>1017000</v>
      </c>
      <c r="E74">
        <v>4478000</v>
      </c>
    </row>
    <row r="75" spans="1:5">
      <c r="A75">
        <v>12</v>
      </c>
      <c r="B75">
        <v>4</v>
      </c>
      <c r="C75" s="318" t="s">
        <v>763</v>
      </c>
      <c r="D75">
        <v>0</v>
      </c>
      <c r="E75">
        <v>182000</v>
      </c>
    </row>
    <row r="76" spans="1:5">
      <c r="A76">
        <v>12</v>
      </c>
      <c r="B76">
        <v>5</v>
      </c>
      <c r="C76" s="318" t="s">
        <v>763</v>
      </c>
      <c r="D76">
        <v>1600000</v>
      </c>
      <c r="E76">
        <v>7750000</v>
      </c>
    </row>
    <row r="77" spans="1:5">
      <c r="A77">
        <v>12</v>
      </c>
      <c r="B77">
        <v>6</v>
      </c>
      <c r="C77" s="318" t="s">
        <v>695</v>
      </c>
      <c r="D77">
        <v>150000</v>
      </c>
      <c r="E77">
        <v>150000</v>
      </c>
    </row>
    <row r="78" spans="1:5">
      <c r="A78">
        <v>12</v>
      </c>
      <c r="B78">
        <v>7</v>
      </c>
      <c r="C78" s="318" t="s">
        <v>695</v>
      </c>
      <c r="D78">
        <v>250000</v>
      </c>
      <c r="E78">
        <v>250000</v>
      </c>
    </row>
    <row r="79" spans="1:5">
      <c r="A79">
        <v>12</v>
      </c>
      <c r="B79">
        <v>8</v>
      </c>
      <c r="C79" s="318" t="s">
        <v>695</v>
      </c>
      <c r="D79">
        <v>150000</v>
      </c>
      <c r="E79">
        <v>550000</v>
      </c>
    </row>
    <row r="80" spans="1:5">
      <c r="A80">
        <v>13</v>
      </c>
      <c r="B80">
        <v>1</v>
      </c>
      <c r="C80" s="318" t="s">
        <v>641</v>
      </c>
      <c r="D80">
        <v>2218196.34</v>
      </c>
      <c r="E80">
        <v>4552631.09</v>
      </c>
    </row>
    <row r="81" spans="1:5">
      <c r="A81">
        <v>13</v>
      </c>
      <c r="B81">
        <v>2</v>
      </c>
      <c r="C81" s="318" t="s">
        <v>641</v>
      </c>
      <c r="E81">
        <v>147469.76000000001</v>
      </c>
    </row>
    <row r="82" spans="1:5">
      <c r="A82">
        <v>13</v>
      </c>
      <c r="B82">
        <v>3</v>
      </c>
      <c r="C82" s="318" t="s">
        <v>763</v>
      </c>
      <c r="D82">
        <v>3171194.82</v>
      </c>
      <c r="E82">
        <v>12580473.960000001</v>
      </c>
    </row>
    <row r="83" spans="1:5">
      <c r="A83">
        <v>13</v>
      </c>
      <c r="B83">
        <v>4</v>
      </c>
      <c r="C83" s="318" t="s">
        <v>763</v>
      </c>
      <c r="D83">
        <v>1324182.3399999999</v>
      </c>
      <c r="E83">
        <v>5139127.7</v>
      </c>
    </row>
    <row r="84" spans="1:5">
      <c r="A84">
        <v>13</v>
      </c>
      <c r="B84">
        <v>5</v>
      </c>
      <c r="C84" s="318" t="s">
        <v>763</v>
      </c>
      <c r="D84">
        <v>1253190.8799999999</v>
      </c>
      <c r="E84">
        <v>4482299.88</v>
      </c>
    </row>
    <row r="85" spans="1:5">
      <c r="A85">
        <v>13</v>
      </c>
      <c r="B85">
        <v>8</v>
      </c>
      <c r="C85" s="318" t="s">
        <v>695</v>
      </c>
      <c r="D85">
        <v>733027.4</v>
      </c>
      <c r="E85">
        <v>2768876.98</v>
      </c>
    </row>
    <row r="86" spans="1:5">
      <c r="A86">
        <v>14</v>
      </c>
      <c r="B86">
        <v>5</v>
      </c>
      <c r="C86" s="318" t="s">
        <v>763</v>
      </c>
      <c r="D86">
        <v>179944.39</v>
      </c>
      <c r="E86">
        <v>596080.89</v>
      </c>
    </row>
    <row r="87" spans="1:5">
      <c r="A87">
        <v>14</v>
      </c>
      <c r="B87">
        <v>1</v>
      </c>
      <c r="C87" s="318" t="s">
        <v>641</v>
      </c>
      <c r="D87">
        <v>449860.99</v>
      </c>
      <c r="E87">
        <v>2508260.41</v>
      </c>
    </row>
    <row r="88" spans="1:5">
      <c r="A88">
        <v>14</v>
      </c>
      <c r="B88">
        <v>3</v>
      </c>
      <c r="C88" s="318" t="s">
        <v>763</v>
      </c>
      <c r="D88">
        <v>0</v>
      </c>
      <c r="E88">
        <v>2859749.6</v>
      </c>
    </row>
    <row r="89" spans="1:5">
      <c r="A89">
        <v>14</v>
      </c>
      <c r="B89">
        <v>4</v>
      </c>
      <c r="C89" s="318" t="s">
        <v>695</v>
      </c>
      <c r="D89">
        <v>0</v>
      </c>
      <c r="E89">
        <v>521133.39</v>
      </c>
    </row>
    <row r="90" spans="1:5">
      <c r="A90">
        <v>14</v>
      </c>
      <c r="B90">
        <v>7</v>
      </c>
      <c r="C90" s="318" t="s">
        <v>763</v>
      </c>
      <c r="D90">
        <v>1079666.3600000001</v>
      </c>
      <c r="E90">
        <v>6490366.7600000007</v>
      </c>
    </row>
    <row r="91" spans="1:5">
      <c r="A91">
        <v>14</v>
      </c>
      <c r="B91">
        <v>8</v>
      </c>
      <c r="C91" s="318" t="s">
        <v>695</v>
      </c>
      <c r="D91">
        <v>89972.2</v>
      </c>
      <c r="E91">
        <v>497195.49</v>
      </c>
    </row>
    <row r="92" spans="1:5">
      <c r="A92">
        <v>15</v>
      </c>
      <c r="B92">
        <v>1</v>
      </c>
      <c r="C92" s="318" t="s">
        <v>641</v>
      </c>
      <c r="D92">
        <v>890000</v>
      </c>
      <c r="E92">
        <v>2532826.58</v>
      </c>
    </row>
    <row r="93" spans="1:5">
      <c r="A93">
        <v>15</v>
      </c>
      <c r="B93">
        <v>2</v>
      </c>
      <c r="C93" s="318" t="s">
        <v>641</v>
      </c>
      <c r="E93">
        <v>300000</v>
      </c>
    </row>
    <row r="94" spans="1:5">
      <c r="A94">
        <v>15</v>
      </c>
      <c r="B94">
        <v>3</v>
      </c>
      <c r="C94" s="318" t="s">
        <v>763</v>
      </c>
      <c r="D94">
        <v>2192099.3250000002</v>
      </c>
      <c r="E94">
        <v>9907250.4250000007</v>
      </c>
    </row>
    <row r="95" spans="1:5">
      <c r="A95">
        <v>15</v>
      </c>
      <c r="B95">
        <v>4</v>
      </c>
      <c r="C95" s="318" t="s">
        <v>763</v>
      </c>
      <c r="D95">
        <v>306204.32500000001</v>
      </c>
      <c r="E95">
        <v>2135873.2549999999</v>
      </c>
    </row>
    <row r="96" spans="1:5">
      <c r="A96">
        <v>15</v>
      </c>
      <c r="B96">
        <v>5</v>
      </c>
      <c r="C96" s="318" t="s">
        <v>763</v>
      </c>
      <c r="D96">
        <v>380000</v>
      </c>
      <c r="E96">
        <v>677173.42</v>
      </c>
    </row>
    <row r="97" spans="1:5">
      <c r="A97">
        <v>15</v>
      </c>
      <c r="B97">
        <v>7</v>
      </c>
      <c r="C97" s="318" t="s">
        <v>695</v>
      </c>
      <c r="E97">
        <v>457000</v>
      </c>
    </row>
    <row r="98" spans="1:5">
      <c r="A98">
        <v>15</v>
      </c>
      <c r="B98">
        <v>8</v>
      </c>
      <c r="C98" s="318" t="s">
        <v>695</v>
      </c>
      <c r="E98">
        <v>370000</v>
      </c>
    </row>
    <row r="99" spans="1:5">
      <c r="A99">
        <v>16</v>
      </c>
      <c r="B99">
        <v>1</v>
      </c>
      <c r="C99" s="318" t="s">
        <v>641</v>
      </c>
      <c r="D99">
        <v>329784.52</v>
      </c>
      <c r="E99">
        <v>1450000</v>
      </c>
    </row>
    <row r="100" spans="1:5">
      <c r="A100">
        <v>16</v>
      </c>
      <c r="B100">
        <v>2</v>
      </c>
      <c r="C100" s="318" t="s">
        <v>641</v>
      </c>
      <c r="D100">
        <v>0</v>
      </c>
      <c r="E100">
        <v>1100000</v>
      </c>
    </row>
    <row r="101" spans="1:5">
      <c r="A101">
        <v>16</v>
      </c>
      <c r="B101">
        <v>3</v>
      </c>
      <c r="C101" s="318" t="s">
        <v>763</v>
      </c>
      <c r="D101">
        <v>3169686.8800000004</v>
      </c>
      <c r="E101">
        <v>9300000</v>
      </c>
    </row>
    <row r="102" spans="1:5">
      <c r="A102">
        <v>16</v>
      </c>
      <c r="B102">
        <v>4</v>
      </c>
      <c r="C102" s="318" t="s">
        <v>763</v>
      </c>
      <c r="D102">
        <v>253429.5</v>
      </c>
      <c r="E102">
        <v>1299000</v>
      </c>
    </row>
    <row r="103" spans="1:5">
      <c r="A103">
        <v>16</v>
      </c>
      <c r="B103">
        <v>5</v>
      </c>
      <c r="C103" s="318" t="s">
        <v>763</v>
      </c>
      <c r="D103">
        <v>0</v>
      </c>
      <c r="E103">
        <v>3549000</v>
      </c>
    </row>
    <row r="104" spans="1:5">
      <c r="A104">
        <v>16</v>
      </c>
      <c r="B104">
        <v>7</v>
      </c>
      <c r="C104" s="318" t="s">
        <v>695</v>
      </c>
      <c r="D104">
        <v>400000</v>
      </c>
      <c r="E104">
        <v>1000000</v>
      </c>
    </row>
    <row r="105" spans="1:5">
      <c r="A105">
        <v>16</v>
      </c>
      <c r="B105">
        <v>8</v>
      </c>
      <c r="C105" s="318" t="s">
        <v>695</v>
      </c>
      <c r="D105">
        <v>323136.90000000002</v>
      </c>
      <c r="E105">
        <v>1300669.42</v>
      </c>
    </row>
    <row r="106" spans="1:5">
      <c r="A106">
        <v>17</v>
      </c>
      <c r="B106">
        <v>1</v>
      </c>
      <c r="C106" s="318" t="s">
        <v>641</v>
      </c>
      <c r="D106">
        <v>546059.06000000006</v>
      </c>
      <c r="E106">
        <v>3504516.98</v>
      </c>
    </row>
    <row r="107" spans="1:5">
      <c r="A107">
        <v>17</v>
      </c>
      <c r="B107">
        <v>2</v>
      </c>
      <c r="C107" s="318" t="s">
        <v>641</v>
      </c>
      <c r="E107">
        <v>96014.16</v>
      </c>
    </row>
    <row r="108" spans="1:5">
      <c r="A108">
        <v>17</v>
      </c>
      <c r="B108">
        <v>3</v>
      </c>
      <c r="C108" s="318" t="s">
        <v>763</v>
      </c>
      <c r="D108">
        <v>2334266.3200000003</v>
      </c>
      <c r="E108">
        <v>8161203.9199999999</v>
      </c>
    </row>
    <row r="109" spans="1:5">
      <c r="A109">
        <v>17</v>
      </c>
      <c r="B109">
        <v>4</v>
      </c>
      <c r="C109" s="318" t="s">
        <v>695</v>
      </c>
      <c r="E109">
        <v>300000</v>
      </c>
    </row>
    <row r="110" spans="1:5">
      <c r="A110">
        <v>17</v>
      </c>
      <c r="B110">
        <v>5</v>
      </c>
      <c r="C110" s="318" t="s">
        <v>763</v>
      </c>
      <c r="D110">
        <v>605328.98</v>
      </c>
      <c r="E110">
        <v>2640389.5099999998</v>
      </c>
    </row>
    <row r="111" spans="1:5">
      <c r="A111">
        <v>17</v>
      </c>
      <c r="B111">
        <v>8</v>
      </c>
      <c r="C111" s="318" t="s">
        <v>763</v>
      </c>
      <c r="D111">
        <v>135000</v>
      </c>
      <c r="E111">
        <v>1264206.5</v>
      </c>
    </row>
    <row r="112" spans="1:5">
      <c r="A112">
        <v>18</v>
      </c>
      <c r="B112">
        <v>1</v>
      </c>
      <c r="C112" s="318" t="s">
        <v>641</v>
      </c>
      <c r="D112">
        <v>224699.13</v>
      </c>
      <c r="E112">
        <v>404699.13</v>
      </c>
    </row>
    <row r="113" spans="1:5">
      <c r="A113">
        <v>18</v>
      </c>
      <c r="B113">
        <v>2</v>
      </c>
      <c r="C113" s="318" t="s">
        <v>641</v>
      </c>
      <c r="D113">
        <v>391414.62</v>
      </c>
      <c r="E113">
        <v>641414.62</v>
      </c>
    </row>
    <row r="114" spans="1:5">
      <c r="A114">
        <v>18</v>
      </c>
      <c r="B114">
        <v>3</v>
      </c>
      <c r="C114" s="318" t="s">
        <v>763</v>
      </c>
      <c r="E114">
        <v>3627442.56</v>
      </c>
    </row>
    <row r="115" spans="1:5">
      <c r="A115">
        <v>18</v>
      </c>
      <c r="B115">
        <v>4</v>
      </c>
      <c r="C115" s="318" t="s">
        <v>763</v>
      </c>
      <c r="E115">
        <v>271775.3</v>
      </c>
    </row>
    <row r="116" spans="1:5">
      <c r="A116">
        <v>18</v>
      </c>
      <c r="B116">
        <v>5</v>
      </c>
      <c r="C116" s="318" t="s">
        <v>763</v>
      </c>
      <c r="D116">
        <v>25000</v>
      </c>
      <c r="E116">
        <v>841000</v>
      </c>
    </row>
    <row r="117" spans="1:5">
      <c r="A117">
        <v>18</v>
      </c>
      <c r="B117">
        <v>7</v>
      </c>
      <c r="C117" s="318" t="s">
        <v>695</v>
      </c>
      <c r="E117">
        <v>400000</v>
      </c>
    </row>
    <row r="118" spans="1:5">
      <c r="A118">
        <v>18</v>
      </c>
      <c r="B118">
        <v>8</v>
      </c>
      <c r="C118" s="318" t="s">
        <v>695</v>
      </c>
      <c r="E118">
        <v>140000</v>
      </c>
    </row>
    <row r="119" spans="1:5">
      <c r="A119">
        <v>19</v>
      </c>
      <c r="B119">
        <v>1</v>
      </c>
      <c r="C119" s="318" t="s">
        <v>641</v>
      </c>
      <c r="D119">
        <v>350000</v>
      </c>
      <c r="E119">
        <v>2249054</v>
      </c>
    </row>
    <row r="120" spans="1:5">
      <c r="A120">
        <v>19</v>
      </c>
      <c r="B120">
        <v>2</v>
      </c>
      <c r="C120" s="318" t="s">
        <v>641</v>
      </c>
      <c r="D120">
        <v>484755.19</v>
      </c>
      <c r="E120">
        <v>934755.19</v>
      </c>
    </row>
    <row r="121" spans="1:5">
      <c r="A121">
        <v>19</v>
      </c>
      <c r="B121">
        <v>3</v>
      </c>
      <c r="C121" s="318" t="s">
        <v>763</v>
      </c>
      <c r="D121">
        <v>4200000</v>
      </c>
      <c r="E121">
        <v>15990000</v>
      </c>
    </row>
    <row r="122" spans="1:5">
      <c r="A122">
        <v>19</v>
      </c>
      <c r="B122">
        <v>4</v>
      </c>
      <c r="C122" s="318" t="s">
        <v>763</v>
      </c>
      <c r="D122">
        <v>500000</v>
      </c>
      <c r="E122">
        <v>2350000</v>
      </c>
    </row>
    <row r="123" spans="1:5">
      <c r="A123">
        <v>19</v>
      </c>
      <c r="B123">
        <v>5</v>
      </c>
      <c r="C123" s="318" t="s">
        <v>763</v>
      </c>
      <c r="D123">
        <v>1600000</v>
      </c>
      <c r="E123">
        <v>7110000</v>
      </c>
    </row>
    <row r="124" spans="1:5">
      <c r="A124">
        <v>19</v>
      </c>
      <c r="B124">
        <v>6</v>
      </c>
      <c r="C124" s="318" t="s">
        <v>695</v>
      </c>
      <c r="D124">
        <v>300000</v>
      </c>
      <c r="E124">
        <v>1200000</v>
      </c>
    </row>
    <row r="125" spans="1:5">
      <c r="A125">
        <v>19</v>
      </c>
      <c r="B125">
        <v>8</v>
      </c>
      <c r="C125" s="318" t="s">
        <v>695</v>
      </c>
      <c r="D125">
        <v>0</v>
      </c>
      <c r="E125">
        <v>1350000</v>
      </c>
    </row>
    <row r="126" spans="1:5">
      <c r="A126">
        <v>2021</v>
      </c>
      <c r="B126">
        <v>1</v>
      </c>
      <c r="C126" s="318" t="s">
        <v>641</v>
      </c>
      <c r="D126">
        <v>263242.90999999997</v>
      </c>
      <c r="E126">
        <v>4708952.2799999993</v>
      </c>
    </row>
    <row r="127" spans="1:5">
      <c r="A127">
        <v>2021</v>
      </c>
      <c r="B127">
        <v>2</v>
      </c>
      <c r="C127" s="318" t="s">
        <v>641</v>
      </c>
      <c r="E127">
        <v>141177.49</v>
      </c>
    </row>
    <row r="128" spans="1:5">
      <c r="A128">
        <v>2021</v>
      </c>
      <c r="B128">
        <v>3</v>
      </c>
      <c r="C128" s="318" t="s">
        <v>763</v>
      </c>
      <c r="D128">
        <v>3282452.44</v>
      </c>
      <c r="E128">
        <v>14761499.050000001</v>
      </c>
    </row>
    <row r="129" spans="1:5">
      <c r="A129">
        <v>2021</v>
      </c>
      <c r="B129">
        <v>4</v>
      </c>
      <c r="C129" s="318" t="s">
        <v>695</v>
      </c>
      <c r="E129">
        <v>437194.8</v>
      </c>
    </row>
    <row r="130" spans="1:5">
      <c r="A130">
        <v>2021</v>
      </c>
      <c r="B130">
        <v>5</v>
      </c>
      <c r="C130" s="318" t="s">
        <v>763</v>
      </c>
      <c r="D130">
        <v>461339.93</v>
      </c>
      <c r="E130">
        <v>2026580.0499999998</v>
      </c>
    </row>
    <row r="131" spans="1:5">
      <c r="A131">
        <v>2021</v>
      </c>
      <c r="B131">
        <v>8</v>
      </c>
      <c r="C131" s="318" t="s">
        <v>763</v>
      </c>
      <c r="D131">
        <v>175000</v>
      </c>
      <c r="E131">
        <v>1983125.53</v>
      </c>
    </row>
    <row r="132" spans="1:5">
      <c r="A132">
        <v>22</v>
      </c>
      <c r="B132">
        <v>1</v>
      </c>
      <c r="C132" s="318" t="s">
        <v>641</v>
      </c>
      <c r="D132">
        <v>543696.28</v>
      </c>
      <c r="E132">
        <v>3198926.2</v>
      </c>
    </row>
    <row r="133" spans="1:5">
      <c r="A133">
        <v>22</v>
      </c>
      <c r="B133">
        <v>2</v>
      </c>
      <c r="C133" s="318" t="s">
        <v>641</v>
      </c>
      <c r="D133">
        <v>150000</v>
      </c>
      <c r="E133">
        <v>820000</v>
      </c>
    </row>
    <row r="134" spans="1:5">
      <c r="A134">
        <v>22</v>
      </c>
      <c r="B134">
        <v>8</v>
      </c>
      <c r="C134" s="318" t="s">
        <v>695</v>
      </c>
      <c r="D134">
        <v>194192.64000000001</v>
      </c>
      <c r="E134">
        <v>1255257.3700000001</v>
      </c>
    </row>
    <row r="135" spans="1:5">
      <c r="A135">
        <v>22</v>
      </c>
      <c r="B135">
        <v>3</v>
      </c>
      <c r="C135" s="318" t="s">
        <v>763</v>
      </c>
      <c r="D135">
        <v>638633.22</v>
      </c>
      <c r="E135">
        <v>8941584.6799999997</v>
      </c>
    </row>
    <row r="136" spans="1:5">
      <c r="A136">
        <v>22</v>
      </c>
      <c r="B136">
        <v>4</v>
      </c>
      <c r="C136" s="318" t="s">
        <v>763</v>
      </c>
      <c r="D136">
        <v>235000</v>
      </c>
      <c r="E136">
        <v>2699171.65</v>
      </c>
    </row>
  </sheetData>
  <pageMargins left="0.511811024" right="0.511811024" top="0.78740157499999996" bottom="0.78740157499999996" header="0.31496062000000002" footer="0.31496062000000002"/>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55"/>
  <sheetViews>
    <sheetView showGridLines="0" topLeftCell="C1" zoomScaleNormal="100" workbookViewId="0">
      <selection activeCell="H32" sqref="H32"/>
    </sheetView>
  </sheetViews>
  <sheetFormatPr defaultColWidth="9.109375" defaultRowHeight="11.4"/>
  <cols>
    <col min="1" max="1" width="29.5546875" style="1" customWidth="1"/>
    <col min="2" max="2" width="13.44140625" style="1" bestFit="1" customWidth="1"/>
    <col min="3" max="3" width="22.5546875" style="1" bestFit="1" customWidth="1"/>
    <col min="4" max="4" width="13.44140625" style="1" bestFit="1" customWidth="1"/>
    <col min="5" max="5" width="14.44140625" style="1" bestFit="1" customWidth="1"/>
    <col min="6" max="6" width="13.44140625" style="1" bestFit="1" customWidth="1"/>
    <col min="7" max="7" width="14.44140625" style="1" bestFit="1" customWidth="1"/>
    <col min="8" max="8" width="22.109375" style="1" customWidth="1"/>
    <col min="9" max="9" width="16.109375" style="1" bestFit="1" customWidth="1"/>
    <col min="10" max="10" width="15.44140625" style="1" bestFit="1" customWidth="1"/>
    <col min="11" max="11" width="16.44140625" style="1" bestFit="1" customWidth="1"/>
    <col min="12" max="13" width="16.109375" style="1" bestFit="1" customWidth="1"/>
    <col min="14" max="14" width="13.5546875" style="1" bestFit="1" customWidth="1"/>
    <col min="15" max="15" width="14.44140625" style="1" bestFit="1" customWidth="1"/>
    <col min="16" max="18" width="15.109375" style="1" bestFit="1" customWidth="1"/>
    <col min="19" max="19" width="15.44140625" style="1" customWidth="1"/>
    <col min="20" max="20" width="15.109375" style="1" bestFit="1" customWidth="1"/>
    <col min="21" max="21" width="6.44140625" style="1" bestFit="1" customWidth="1"/>
    <col min="22" max="22" width="14.44140625" style="1" bestFit="1" customWidth="1"/>
    <col min="23" max="24" width="6.44140625" style="1" bestFit="1" customWidth="1"/>
    <col min="25" max="25" width="10.5546875" style="1" bestFit="1" customWidth="1"/>
    <col min="26" max="16384" width="9.109375" style="1"/>
  </cols>
  <sheetData>
    <row r="1" spans="1:26" ht="13.2">
      <c r="A1" s="59" t="s">
        <v>856</v>
      </c>
      <c r="B1" s="59"/>
      <c r="C1" s="59"/>
      <c r="D1" s="59"/>
      <c r="E1" s="59"/>
      <c r="F1" s="59"/>
      <c r="G1" s="59"/>
    </row>
    <row r="2" spans="1:26" ht="13.2">
      <c r="A2" s="59" t="s">
        <v>857</v>
      </c>
      <c r="B2" s="59"/>
      <c r="C2" s="59"/>
      <c r="D2" s="59"/>
      <c r="E2" s="59"/>
      <c r="F2" s="59"/>
      <c r="G2" s="59"/>
      <c r="H2" s="59"/>
      <c r="I2" s="59"/>
    </row>
    <row r="4" spans="1:26" ht="15" customHeight="1"/>
    <row r="5" spans="1:26" ht="15.75" customHeight="1">
      <c r="A5" s="305" t="s">
        <v>858</v>
      </c>
      <c r="B5" s="308" t="s">
        <v>859</v>
      </c>
      <c r="C5" s="307" t="s">
        <v>860</v>
      </c>
      <c r="D5" s="307"/>
      <c r="E5" s="307"/>
      <c r="F5" s="307"/>
      <c r="G5" s="307"/>
      <c r="H5" s="7"/>
      <c r="I5" s="307" t="s">
        <v>861</v>
      </c>
      <c r="J5" s="307"/>
      <c r="K5" s="307"/>
      <c r="L5" s="307"/>
      <c r="M5" s="307"/>
      <c r="N5" s="58"/>
      <c r="P5" s="307" t="s">
        <v>862</v>
      </c>
      <c r="Q5" s="307"/>
      <c r="R5" s="307"/>
      <c r="S5" s="307"/>
      <c r="T5" s="307"/>
      <c r="U5" s="58"/>
      <c r="V5" s="307" t="s">
        <v>863</v>
      </c>
      <c r="W5" s="307"/>
      <c r="X5" s="307"/>
      <c r="Y5" s="307"/>
      <c r="Z5" s="307"/>
    </row>
    <row r="6" spans="1:26" ht="15.75" customHeight="1">
      <c r="A6" s="306"/>
      <c r="B6" s="309"/>
      <c r="C6" s="299">
        <v>2018</v>
      </c>
      <c r="D6" s="299">
        <v>2020</v>
      </c>
      <c r="E6" s="299">
        <v>2021</v>
      </c>
      <c r="F6" s="299">
        <v>2022</v>
      </c>
      <c r="G6" s="299">
        <v>2023</v>
      </c>
      <c r="H6" s="7"/>
      <c r="I6" s="300">
        <v>2020</v>
      </c>
      <c r="J6" s="300">
        <v>2021</v>
      </c>
      <c r="K6" s="300">
        <v>2022</v>
      </c>
      <c r="L6" s="300">
        <v>2023</v>
      </c>
      <c r="M6" s="300" t="s">
        <v>864</v>
      </c>
      <c r="N6" s="58"/>
      <c r="P6" s="300">
        <v>2020</v>
      </c>
      <c r="Q6" s="300">
        <v>2021</v>
      </c>
      <c r="R6" s="300">
        <v>2022</v>
      </c>
      <c r="S6" s="300">
        <v>2023</v>
      </c>
      <c r="T6" s="300" t="s">
        <v>864</v>
      </c>
      <c r="U6" s="58"/>
      <c r="V6" s="300">
        <v>2020</v>
      </c>
      <c r="W6" s="300">
        <v>2021</v>
      </c>
      <c r="X6" s="300">
        <v>2022</v>
      </c>
      <c r="Y6" s="300">
        <v>2023</v>
      </c>
      <c r="Z6" s="300" t="s">
        <v>864</v>
      </c>
    </row>
    <row r="7" spans="1:26">
      <c r="A7" s="57" t="s">
        <v>865</v>
      </c>
      <c r="B7" s="6" t="s">
        <v>866</v>
      </c>
      <c r="C7" s="54">
        <v>100</v>
      </c>
      <c r="D7" s="54">
        <v>100</v>
      </c>
      <c r="E7" s="54">
        <v>100</v>
      </c>
      <c r="F7" s="54">
        <v>100</v>
      </c>
      <c r="G7" s="54">
        <v>100</v>
      </c>
      <c r="H7" s="7"/>
      <c r="I7" s="47">
        <v>149000</v>
      </c>
      <c r="J7" s="47">
        <v>169000</v>
      </c>
      <c r="K7" s="47">
        <v>180000</v>
      </c>
      <c r="L7" s="47">
        <v>190000</v>
      </c>
      <c r="M7" s="47">
        <f t="shared" ref="M7:M27" si="0">SUM(I7:L7)</f>
        <v>688000</v>
      </c>
      <c r="P7" s="53">
        <f t="shared" ref="P7:P27" si="1">(D7/100)*I7</f>
        <v>149000</v>
      </c>
      <c r="Q7" s="53">
        <f t="shared" ref="Q7:Q27" si="2">(E7/100)*J7</f>
        <v>169000</v>
      </c>
      <c r="R7" s="53">
        <f t="shared" ref="R7:R27" si="3">(F7/100)*K7</f>
        <v>180000</v>
      </c>
      <c r="S7" s="53">
        <f t="shared" ref="S7:S27" si="4">(G7/100)*L7</f>
        <v>190000</v>
      </c>
      <c r="T7" s="53">
        <f t="shared" ref="T7:T27" si="5">SUM(P7:S7)</f>
        <v>688000</v>
      </c>
      <c r="V7" s="54">
        <f t="shared" ref="V7:V27" si="6">(P7/I7)*100</f>
        <v>100</v>
      </c>
      <c r="W7" s="54">
        <f t="shared" ref="W7:W27" si="7">(Q7/J7)*100</f>
        <v>100</v>
      </c>
      <c r="X7" s="54">
        <f t="shared" ref="X7:X27" si="8">(R7/K7)*100</f>
        <v>100</v>
      </c>
      <c r="Y7" s="54">
        <f t="shared" ref="Y7:Y27" si="9">(S7/L7)*100</f>
        <v>100</v>
      </c>
      <c r="Z7" s="14">
        <f t="shared" ref="Z7:Z27" si="10">(T7/M7)*100</f>
        <v>100</v>
      </c>
    </row>
    <row r="8" spans="1:26">
      <c r="A8" s="57" t="s">
        <v>867</v>
      </c>
      <c r="B8" s="6" t="s">
        <v>866</v>
      </c>
      <c r="C8" s="54">
        <v>99.22</v>
      </c>
      <c r="D8" s="54">
        <v>99.22</v>
      </c>
      <c r="E8" s="54">
        <v>99.22</v>
      </c>
      <c r="F8" s="54">
        <v>99.22</v>
      </c>
      <c r="G8" s="54">
        <v>99.22</v>
      </c>
      <c r="H8" s="7"/>
      <c r="I8" s="47">
        <v>13000000</v>
      </c>
      <c r="J8" s="47">
        <v>13000000</v>
      </c>
      <c r="K8" s="47">
        <v>13000000</v>
      </c>
      <c r="L8" s="47">
        <v>13000000</v>
      </c>
      <c r="M8" s="47">
        <f t="shared" si="0"/>
        <v>52000000</v>
      </c>
      <c r="P8" s="53">
        <f t="shared" si="1"/>
        <v>12898600</v>
      </c>
      <c r="Q8" s="53">
        <f t="shared" si="2"/>
        <v>12898600</v>
      </c>
      <c r="R8" s="53">
        <f t="shared" si="3"/>
        <v>12898600</v>
      </c>
      <c r="S8" s="53">
        <f t="shared" si="4"/>
        <v>12898600</v>
      </c>
      <c r="T8" s="53">
        <f t="shared" si="5"/>
        <v>51594400</v>
      </c>
      <c r="V8" s="54">
        <f t="shared" si="6"/>
        <v>99.22</v>
      </c>
      <c r="W8" s="54">
        <f t="shared" si="7"/>
        <v>99.22</v>
      </c>
      <c r="X8" s="54">
        <f t="shared" si="8"/>
        <v>99.22</v>
      </c>
      <c r="Y8" s="54">
        <f t="shared" si="9"/>
        <v>99.22</v>
      </c>
      <c r="Z8" s="14">
        <f t="shared" si="10"/>
        <v>99.22</v>
      </c>
    </row>
    <row r="9" spans="1:26">
      <c r="A9" s="52" t="s">
        <v>868</v>
      </c>
      <c r="B9" s="6" t="s">
        <v>866</v>
      </c>
      <c r="C9" s="54" t="s">
        <v>869</v>
      </c>
      <c r="D9" s="54">
        <v>99</v>
      </c>
      <c r="E9" s="54">
        <v>99.5</v>
      </c>
      <c r="F9" s="54">
        <v>100</v>
      </c>
      <c r="G9" s="54">
        <v>100</v>
      </c>
      <c r="H9" s="7"/>
      <c r="I9" s="47">
        <v>1076000</v>
      </c>
      <c r="J9" s="47">
        <v>1209000</v>
      </c>
      <c r="K9" s="47">
        <v>1362000</v>
      </c>
      <c r="L9" s="47">
        <v>1362000</v>
      </c>
      <c r="M9" s="47">
        <f t="shared" si="0"/>
        <v>5009000</v>
      </c>
      <c r="P9" s="53">
        <f t="shared" si="1"/>
        <v>1065240</v>
      </c>
      <c r="Q9" s="53">
        <f t="shared" si="2"/>
        <v>1202955</v>
      </c>
      <c r="R9" s="53">
        <f t="shared" si="3"/>
        <v>1362000</v>
      </c>
      <c r="S9" s="53">
        <f t="shared" si="4"/>
        <v>1362000</v>
      </c>
      <c r="T9" s="53">
        <f t="shared" si="5"/>
        <v>4992195</v>
      </c>
      <c r="V9" s="54">
        <f t="shared" si="6"/>
        <v>99</v>
      </c>
      <c r="W9" s="54">
        <f t="shared" si="7"/>
        <v>99.5</v>
      </c>
      <c r="X9" s="54">
        <f t="shared" si="8"/>
        <v>100</v>
      </c>
      <c r="Y9" s="54">
        <f t="shared" si="9"/>
        <v>100</v>
      </c>
      <c r="Z9" s="54">
        <f t="shared" si="10"/>
        <v>99.664503892992613</v>
      </c>
    </row>
    <row r="10" spans="1:26">
      <c r="A10" s="57" t="s">
        <v>870</v>
      </c>
      <c r="B10" s="6" t="s">
        <v>866</v>
      </c>
      <c r="C10" s="55">
        <v>85</v>
      </c>
      <c r="D10" s="56">
        <v>85</v>
      </c>
      <c r="E10" s="56">
        <v>87</v>
      </c>
      <c r="F10" s="56">
        <v>89</v>
      </c>
      <c r="G10" s="56">
        <v>90</v>
      </c>
      <c r="H10" s="7"/>
      <c r="I10" s="47">
        <v>4816000</v>
      </c>
      <c r="J10" s="47">
        <v>4929000</v>
      </c>
      <c r="K10" s="47">
        <v>5042000</v>
      </c>
      <c r="L10" s="47">
        <v>5098000</v>
      </c>
      <c r="M10" s="47">
        <f t="shared" si="0"/>
        <v>19885000</v>
      </c>
      <c r="P10" s="53">
        <f t="shared" si="1"/>
        <v>4093600</v>
      </c>
      <c r="Q10" s="53">
        <f t="shared" si="2"/>
        <v>4288230</v>
      </c>
      <c r="R10" s="53">
        <f t="shared" si="3"/>
        <v>4487380</v>
      </c>
      <c r="S10" s="53">
        <f t="shared" si="4"/>
        <v>4588200</v>
      </c>
      <c r="T10" s="53">
        <f t="shared" si="5"/>
        <v>17457410</v>
      </c>
      <c r="V10" s="54">
        <f t="shared" si="6"/>
        <v>85</v>
      </c>
      <c r="W10" s="54">
        <f t="shared" si="7"/>
        <v>87</v>
      </c>
      <c r="X10" s="54">
        <f t="shared" si="8"/>
        <v>89</v>
      </c>
      <c r="Y10" s="54">
        <f t="shared" si="9"/>
        <v>90</v>
      </c>
      <c r="Z10" s="54">
        <f t="shared" si="10"/>
        <v>87.791853155644958</v>
      </c>
    </row>
    <row r="11" spans="1:26">
      <c r="A11" s="57" t="s">
        <v>871</v>
      </c>
      <c r="B11" s="6" t="s">
        <v>872</v>
      </c>
      <c r="C11" s="51">
        <v>97</v>
      </c>
      <c r="D11" s="51">
        <v>97.33</v>
      </c>
      <c r="E11" s="51">
        <v>97.63</v>
      </c>
      <c r="F11" s="51">
        <v>97.93</v>
      </c>
      <c r="G11" s="51">
        <v>98.23</v>
      </c>
      <c r="H11" s="7"/>
      <c r="I11" s="47">
        <v>20133000</v>
      </c>
      <c r="J11" s="47">
        <v>20188000</v>
      </c>
      <c r="K11" s="47">
        <v>20209000</v>
      </c>
      <c r="L11" s="47">
        <v>19546000</v>
      </c>
      <c r="M11" s="47">
        <f t="shared" si="0"/>
        <v>80076000</v>
      </c>
      <c r="P11" s="53">
        <f t="shared" si="1"/>
        <v>19595448.899999999</v>
      </c>
      <c r="Q11" s="53">
        <f t="shared" si="2"/>
        <v>19709544.399999999</v>
      </c>
      <c r="R11" s="53">
        <f t="shared" si="3"/>
        <v>19790673.700000003</v>
      </c>
      <c r="S11" s="53">
        <f t="shared" si="4"/>
        <v>19200035.800000001</v>
      </c>
      <c r="T11" s="53">
        <f t="shared" si="5"/>
        <v>78295702.799999997</v>
      </c>
      <c r="V11" s="54">
        <f t="shared" si="6"/>
        <v>97.33</v>
      </c>
      <c r="W11" s="54">
        <f t="shared" si="7"/>
        <v>97.63</v>
      </c>
      <c r="X11" s="54">
        <f t="shared" si="8"/>
        <v>97.930000000000021</v>
      </c>
      <c r="Y11" s="54">
        <f t="shared" si="9"/>
        <v>98.23</v>
      </c>
      <c r="Z11" s="54">
        <f t="shared" si="10"/>
        <v>97.776740596433385</v>
      </c>
    </row>
    <row r="12" spans="1:26">
      <c r="A12" s="57" t="s">
        <v>873</v>
      </c>
      <c r="B12" s="6" t="s">
        <v>874</v>
      </c>
      <c r="C12" s="56">
        <v>96</v>
      </c>
      <c r="D12" s="56">
        <v>96</v>
      </c>
      <c r="E12" s="56">
        <v>96.5</v>
      </c>
      <c r="F12" s="56">
        <v>97</v>
      </c>
      <c r="G12" s="56">
        <v>97.5</v>
      </c>
      <c r="H12" s="7"/>
      <c r="I12" s="47">
        <v>48000000</v>
      </c>
      <c r="J12" s="47">
        <v>46500000</v>
      </c>
      <c r="K12" s="47">
        <v>45000000</v>
      </c>
      <c r="L12" s="47">
        <v>44000000</v>
      </c>
      <c r="M12" s="47">
        <f t="shared" si="0"/>
        <v>183500000</v>
      </c>
      <c r="P12" s="53">
        <f t="shared" si="1"/>
        <v>46080000</v>
      </c>
      <c r="Q12" s="53">
        <f t="shared" si="2"/>
        <v>44872500</v>
      </c>
      <c r="R12" s="53">
        <f t="shared" si="3"/>
        <v>43650000</v>
      </c>
      <c r="S12" s="53">
        <f t="shared" si="4"/>
        <v>42900000</v>
      </c>
      <c r="T12" s="53">
        <f t="shared" si="5"/>
        <v>177502500</v>
      </c>
      <c r="V12" s="54">
        <f t="shared" si="6"/>
        <v>96</v>
      </c>
      <c r="W12" s="54">
        <f t="shared" si="7"/>
        <v>96.5</v>
      </c>
      <c r="X12" s="54">
        <f t="shared" si="8"/>
        <v>97</v>
      </c>
      <c r="Y12" s="54">
        <f t="shared" si="9"/>
        <v>97.5</v>
      </c>
      <c r="Z12" s="54">
        <f t="shared" si="10"/>
        <v>96.731607629427799</v>
      </c>
    </row>
    <row r="13" spans="1:26">
      <c r="A13" s="57" t="s">
        <v>875</v>
      </c>
      <c r="B13" s="6" t="s">
        <v>866</v>
      </c>
      <c r="C13" s="54">
        <v>99</v>
      </c>
      <c r="D13" s="54">
        <v>99</v>
      </c>
      <c r="E13" s="54">
        <v>90</v>
      </c>
      <c r="F13" s="54">
        <v>90</v>
      </c>
      <c r="G13" s="54">
        <v>90</v>
      </c>
      <c r="H13" s="7"/>
      <c r="I13" s="47">
        <v>6000000</v>
      </c>
      <c r="J13" s="47">
        <v>8000000</v>
      </c>
      <c r="K13" s="47">
        <v>8500000</v>
      </c>
      <c r="L13" s="47">
        <v>8500000</v>
      </c>
      <c r="M13" s="47">
        <f t="shared" si="0"/>
        <v>31000000</v>
      </c>
      <c r="P13" s="53">
        <f t="shared" si="1"/>
        <v>5940000</v>
      </c>
      <c r="Q13" s="53">
        <f t="shared" si="2"/>
        <v>7200000</v>
      </c>
      <c r="R13" s="53">
        <f t="shared" si="3"/>
        <v>7650000</v>
      </c>
      <c r="S13" s="53">
        <f t="shared" si="4"/>
        <v>7650000</v>
      </c>
      <c r="T13" s="53">
        <f t="shared" si="5"/>
        <v>28440000</v>
      </c>
      <c r="V13" s="54">
        <f t="shared" si="6"/>
        <v>99</v>
      </c>
      <c r="W13" s="54">
        <f t="shared" si="7"/>
        <v>90</v>
      </c>
      <c r="X13" s="54">
        <f t="shared" si="8"/>
        <v>90</v>
      </c>
      <c r="Y13" s="54">
        <f t="shared" si="9"/>
        <v>90</v>
      </c>
      <c r="Z13" s="54">
        <f t="shared" si="10"/>
        <v>91.741935483870961</v>
      </c>
    </row>
    <row r="14" spans="1:26">
      <c r="A14" s="57" t="s">
        <v>876</v>
      </c>
      <c r="B14" s="6" t="s">
        <v>866</v>
      </c>
      <c r="C14" s="56">
        <v>78</v>
      </c>
      <c r="D14" s="56">
        <v>78</v>
      </c>
      <c r="E14" s="56">
        <v>80</v>
      </c>
      <c r="F14" s="56">
        <v>82</v>
      </c>
      <c r="G14" s="56">
        <v>84</v>
      </c>
      <c r="H14" s="7"/>
      <c r="I14" s="47">
        <v>1765000</v>
      </c>
      <c r="J14" s="47">
        <v>2031000</v>
      </c>
      <c r="K14" s="47">
        <v>2335000</v>
      </c>
      <c r="L14" s="47">
        <v>2685000</v>
      </c>
      <c r="M14" s="47">
        <f t="shared" si="0"/>
        <v>8816000</v>
      </c>
      <c r="P14" s="53">
        <f t="shared" si="1"/>
        <v>1376700</v>
      </c>
      <c r="Q14" s="53">
        <f t="shared" si="2"/>
        <v>1624800</v>
      </c>
      <c r="R14" s="53">
        <f t="shared" si="3"/>
        <v>1914700</v>
      </c>
      <c r="S14" s="53">
        <f t="shared" si="4"/>
        <v>2255400</v>
      </c>
      <c r="T14" s="53">
        <f t="shared" si="5"/>
        <v>7171600</v>
      </c>
      <c r="V14" s="54">
        <f t="shared" si="6"/>
        <v>78</v>
      </c>
      <c r="W14" s="54">
        <f t="shared" si="7"/>
        <v>80</v>
      </c>
      <c r="X14" s="54">
        <f t="shared" si="8"/>
        <v>82</v>
      </c>
      <c r="Y14" s="54">
        <f t="shared" si="9"/>
        <v>84</v>
      </c>
      <c r="Z14" s="54">
        <f t="shared" si="10"/>
        <v>81.347549909255903</v>
      </c>
    </row>
    <row r="15" spans="1:26">
      <c r="A15" s="57" t="s">
        <v>877</v>
      </c>
      <c r="B15" s="6" t="s">
        <v>866</v>
      </c>
      <c r="C15" s="56">
        <v>83</v>
      </c>
      <c r="D15" s="56">
        <v>83</v>
      </c>
      <c r="E15" s="56">
        <v>85</v>
      </c>
      <c r="F15" s="56">
        <v>87</v>
      </c>
      <c r="G15" s="56">
        <v>89</v>
      </c>
      <c r="H15" s="7"/>
      <c r="I15" s="47">
        <v>7572000</v>
      </c>
      <c r="J15" s="47">
        <v>8709000</v>
      </c>
      <c r="K15" s="47">
        <v>10015000</v>
      </c>
      <c r="L15" s="47">
        <v>11518000</v>
      </c>
      <c r="M15" s="47">
        <f t="shared" si="0"/>
        <v>37814000</v>
      </c>
      <c r="P15" s="53">
        <f t="shared" si="1"/>
        <v>6284760</v>
      </c>
      <c r="Q15" s="53">
        <f t="shared" si="2"/>
        <v>7402650</v>
      </c>
      <c r="R15" s="53">
        <f t="shared" si="3"/>
        <v>8713050</v>
      </c>
      <c r="S15" s="53">
        <f t="shared" si="4"/>
        <v>10251020</v>
      </c>
      <c r="T15" s="53">
        <f t="shared" si="5"/>
        <v>32651480</v>
      </c>
      <c r="V15" s="54">
        <f t="shared" si="6"/>
        <v>83</v>
      </c>
      <c r="W15" s="54">
        <f t="shared" si="7"/>
        <v>85</v>
      </c>
      <c r="X15" s="54">
        <f t="shared" si="8"/>
        <v>87</v>
      </c>
      <c r="Y15" s="54">
        <f t="shared" si="9"/>
        <v>89</v>
      </c>
      <c r="Z15" s="54">
        <f t="shared" si="10"/>
        <v>86.347596128418047</v>
      </c>
    </row>
    <row r="16" spans="1:26">
      <c r="A16" s="57" t="s">
        <v>878</v>
      </c>
      <c r="B16" s="6" t="s">
        <v>879</v>
      </c>
      <c r="C16" s="54">
        <v>90</v>
      </c>
      <c r="D16" s="54">
        <v>90</v>
      </c>
      <c r="E16" s="54">
        <v>90</v>
      </c>
      <c r="F16" s="54">
        <v>90</v>
      </c>
      <c r="G16" s="54">
        <v>90</v>
      </c>
      <c r="H16" s="7"/>
      <c r="I16" s="47">
        <v>8000000</v>
      </c>
      <c r="J16" s="47">
        <v>8000000</v>
      </c>
      <c r="K16" s="47">
        <v>8000000</v>
      </c>
      <c r="L16" s="47">
        <v>8000000</v>
      </c>
      <c r="M16" s="47">
        <f t="shared" si="0"/>
        <v>32000000</v>
      </c>
      <c r="P16" s="53">
        <f t="shared" si="1"/>
        <v>7200000</v>
      </c>
      <c r="Q16" s="53">
        <f t="shared" si="2"/>
        <v>7200000</v>
      </c>
      <c r="R16" s="53">
        <f t="shared" si="3"/>
        <v>7200000</v>
      </c>
      <c r="S16" s="53">
        <f t="shared" si="4"/>
        <v>7200000</v>
      </c>
      <c r="T16" s="53">
        <f t="shared" si="5"/>
        <v>28800000</v>
      </c>
      <c r="V16" s="54">
        <f t="shared" si="6"/>
        <v>90</v>
      </c>
      <c r="W16" s="54">
        <f t="shared" si="7"/>
        <v>90</v>
      </c>
      <c r="X16" s="54">
        <f t="shared" si="8"/>
        <v>90</v>
      </c>
      <c r="Y16" s="54">
        <f t="shared" si="9"/>
        <v>90</v>
      </c>
      <c r="Z16" s="54">
        <f t="shared" si="10"/>
        <v>90</v>
      </c>
    </row>
    <row r="17" spans="1:26">
      <c r="A17" s="57" t="s">
        <v>880</v>
      </c>
      <c r="B17" s="6" t="s">
        <v>866</v>
      </c>
      <c r="C17" s="54">
        <v>99.5</v>
      </c>
      <c r="D17" s="54">
        <v>99.5</v>
      </c>
      <c r="E17" s="54">
        <v>99.51</v>
      </c>
      <c r="F17" s="54">
        <v>99.52</v>
      </c>
      <c r="G17" s="54">
        <v>99.53</v>
      </c>
      <c r="H17" s="7"/>
      <c r="I17" s="47">
        <v>5700000</v>
      </c>
      <c r="J17" s="47">
        <v>5723000</v>
      </c>
      <c r="K17" s="47">
        <v>5739000</v>
      </c>
      <c r="L17" s="47">
        <v>5759000</v>
      </c>
      <c r="M17" s="47">
        <f t="shared" si="0"/>
        <v>22921000</v>
      </c>
      <c r="P17" s="53">
        <f t="shared" si="1"/>
        <v>5671500</v>
      </c>
      <c r="Q17" s="53">
        <f t="shared" si="2"/>
        <v>5694957.3000000007</v>
      </c>
      <c r="R17" s="53">
        <f t="shared" si="3"/>
        <v>5711452.7999999998</v>
      </c>
      <c r="S17" s="53">
        <f t="shared" si="4"/>
        <v>5731932.7000000002</v>
      </c>
      <c r="T17" s="53">
        <f t="shared" si="5"/>
        <v>22809842.800000001</v>
      </c>
      <c r="V17" s="54">
        <f t="shared" si="6"/>
        <v>99.5</v>
      </c>
      <c r="W17" s="54">
        <f t="shared" si="7"/>
        <v>99.51</v>
      </c>
      <c r="X17" s="54">
        <f t="shared" si="8"/>
        <v>99.52</v>
      </c>
      <c r="Y17" s="54">
        <f t="shared" si="9"/>
        <v>99.53</v>
      </c>
      <c r="Z17" s="54">
        <f t="shared" si="10"/>
        <v>99.515042101129964</v>
      </c>
    </row>
    <row r="18" spans="1:26">
      <c r="A18" s="57" t="s">
        <v>881</v>
      </c>
      <c r="B18" s="6" t="s">
        <v>866</v>
      </c>
      <c r="C18" s="56">
        <v>80</v>
      </c>
      <c r="D18" s="56">
        <v>80</v>
      </c>
      <c r="E18" s="56">
        <v>82</v>
      </c>
      <c r="F18" s="56">
        <v>84</v>
      </c>
      <c r="G18" s="56">
        <v>86</v>
      </c>
      <c r="H18" s="7"/>
      <c r="I18" s="47">
        <v>2617000</v>
      </c>
      <c r="J18" s="47">
        <v>2682000</v>
      </c>
      <c r="K18" s="47">
        <v>2748000</v>
      </c>
      <c r="L18" s="47">
        <v>2813000</v>
      </c>
      <c r="M18" s="47">
        <f t="shared" si="0"/>
        <v>10860000</v>
      </c>
      <c r="P18" s="53">
        <f t="shared" si="1"/>
        <v>2093600</v>
      </c>
      <c r="Q18" s="53">
        <f t="shared" si="2"/>
        <v>2199240</v>
      </c>
      <c r="R18" s="53">
        <f t="shared" si="3"/>
        <v>2308320</v>
      </c>
      <c r="S18" s="53">
        <f t="shared" si="4"/>
        <v>2419180</v>
      </c>
      <c r="T18" s="53">
        <f t="shared" si="5"/>
        <v>9020340</v>
      </c>
      <c r="V18" s="54">
        <f t="shared" si="6"/>
        <v>80</v>
      </c>
      <c r="W18" s="54">
        <f t="shared" si="7"/>
        <v>82</v>
      </c>
      <c r="X18" s="54">
        <f t="shared" si="8"/>
        <v>84</v>
      </c>
      <c r="Y18" s="54">
        <f t="shared" si="9"/>
        <v>86</v>
      </c>
      <c r="Z18" s="54">
        <f t="shared" si="10"/>
        <v>83.060220994475145</v>
      </c>
    </row>
    <row r="19" spans="1:26">
      <c r="A19" s="57" t="s">
        <v>882</v>
      </c>
      <c r="B19" s="6" t="s">
        <v>866</v>
      </c>
      <c r="C19" s="54">
        <v>95</v>
      </c>
      <c r="D19" s="54">
        <v>95</v>
      </c>
      <c r="E19" s="54">
        <v>95.5</v>
      </c>
      <c r="F19" s="54">
        <v>96</v>
      </c>
      <c r="G19" s="54">
        <v>96.5</v>
      </c>
      <c r="H19" s="7"/>
      <c r="I19" s="47">
        <v>5500000</v>
      </c>
      <c r="J19" s="47">
        <v>5749000</v>
      </c>
      <c r="K19" s="47">
        <v>6000000</v>
      </c>
      <c r="L19" s="47">
        <v>6249000</v>
      </c>
      <c r="M19" s="47">
        <f t="shared" si="0"/>
        <v>23498000</v>
      </c>
      <c r="P19" s="53">
        <f t="shared" si="1"/>
        <v>5225000</v>
      </c>
      <c r="Q19" s="53">
        <f t="shared" si="2"/>
        <v>5490295</v>
      </c>
      <c r="R19" s="53">
        <f t="shared" si="3"/>
        <v>5760000</v>
      </c>
      <c r="S19" s="53">
        <f t="shared" si="4"/>
        <v>6030285</v>
      </c>
      <c r="T19" s="53">
        <f t="shared" si="5"/>
        <v>22505580</v>
      </c>
      <c r="V19" s="54">
        <f t="shared" si="6"/>
        <v>95</v>
      </c>
      <c r="W19" s="54">
        <f t="shared" si="7"/>
        <v>95.5</v>
      </c>
      <c r="X19" s="54">
        <f t="shared" si="8"/>
        <v>96</v>
      </c>
      <c r="Y19" s="54">
        <f t="shared" si="9"/>
        <v>96.5</v>
      </c>
      <c r="Z19" s="54">
        <f t="shared" si="10"/>
        <v>95.776576729934462</v>
      </c>
    </row>
    <row r="20" spans="1:26">
      <c r="A20" s="52" t="s">
        <v>883</v>
      </c>
      <c r="B20" s="6" t="s">
        <v>866</v>
      </c>
      <c r="C20" s="54" t="s">
        <v>869</v>
      </c>
      <c r="D20" s="54">
        <v>69</v>
      </c>
      <c r="E20" s="54">
        <v>77</v>
      </c>
      <c r="F20" s="54">
        <v>81</v>
      </c>
      <c r="G20" s="54">
        <v>85</v>
      </c>
      <c r="H20" s="7"/>
      <c r="I20" s="47">
        <v>2000000</v>
      </c>
      <c r="J20" s="47">
        <v>2495000</v>
      </c>
      <c r="K20" s="47">
        <v>3326000</v>
      </c>
      <c r="L20" s="47">
        <v>3326000</v>
      </c>
      <c r="M20" s="47">
        <f t="shared" si="0"/>
        <v>11147000</v>
      </c>
      <c r="P20" s="53">
        <f t="shared" si="1"/>
        <v>1380000</v>
      </c>
      <c r="Q20" s="53">
        <f t="shared" si="2"/>
        <v>1921150</v>
      </c>
      <c r="R20" s="53">
        <f t="shared" si="3"/>
        <v>2694060</v>
      </c>
      <c r="S20" s="53">
        <f t="shared" si="4"/>
        <v>2827100</v>
      </c>
      <c r="T20" s="53">
        <f t="shared" si="5"/>
        <v>8822310</v>
      </c>
      <c r="V20" s="54">
        <f t="shared" si="6"/>
        <v>69</v>
      </c>
      <c r="W20" s="54">
        <f t="shared" si="7"/>
        <v>77</v>
      </c>
      <c r="X20" s="54">
        <f t="shared" si="8"/>
        <v>81</v>
      </c>
      <c r="Y20" s="54">
        <f t="shared" si="9"/>
        <v>85</v>
      </c>
      <c r="Z20" s="54">
        <f t="shared" si="10"/>
        <v>79.145151161747549</v>
      </c>
    </row>
    <row r="21" spans="1:26">
      <c r="A21" s="57" t="s">
        <v>884</v>
      </c>
      <c r="B21" s="6" t="s">
        <v>866</v>
      </c>
      <c r="C21" s="54">
        <v>84.6</v>
      </c>
      <c r="D21" s="54">
        <v>84.6</v>
      </c>
      <c r="E21" s="54">
        <v>85</v>
      </c>
      <c r="F21" s="54">
        <v>86</v>
      </c>
      <c r="G21" s="54">
        <v>87</v>
      </c>
      <c r="H21" s="7"/>
      <c r="I21" s="47">
        <v>3041000</v>
      </c>
      <c r="J21" s="47">
        <v>3133000</v>
      </c>
      <c r="K21" s="47">
        <v>3227000</v>
      </c>
      <c r="L21" s="47">
        <v>3333000</v>
      </c>
      <c r="M21" s="47">
        <f t="shared" si="0"/>
        <v>12734000</v>
      </c>
      <c r="P21" s="53">
        <f t="shared" si="1"/>
        <v>2572686</v>
      </c>
      <c r="Q21" s="53">
        <f t="shared" si="2"/>
        <v>2663050</v>
      </c>
      <c r="R21" s="53">
        <f t="shared" si="3"/>
        <v>2775220</v>
      </c>
      <c r="S21" s="53">
        <f t="shared" si="4"/>
        <v>2899710</v>
      </c>
      <c r="T21" s="53">
        <f t="shared" si="5"/>
        <v>10910666</v>
      </c>
      <c r="V21" s="54">
        <f t="shared" si="6"/>
        <v>84.6</v>
      </c>
      <c r="W21" s="54">
        <f t="shared" si="7"/>
        <v>85</v>
      </c>
      <c r="X21" s="54">
        <f t="shared" si="8"/>
        <v>86</v>
      </c>
      <c r="Y21" s="54">
        <f t="shared" si="9"/>
        <v>87</v>
      </c>
      <c r="Z21" s="54">
        <f t="shared" si="10"/>
        <v>85.681372702999852</v>
      </c>
    </row>
    <row r="22" spans="1:26">
      <c r="A22" s="57" t="s">
        <v>885</v>
      </c>
      <c r="B22" s="6" t="s">
        <v>866</v>
      </c>
      <c r="C22" s="54">
        <v>95.44</v>
      </c>
      <c r="D22" s="54">
        <v>96</v>
      </c>
      <c r="E22" s="54">
        <v>96</v>
      </c>
      <c r="F22" s="54">
        <v>96</v>
      </c>
      <c r="G22" s="54">
        <v>96</v>
      </c>
      <c r="H22" s="7"/>
      <c r="I22" s="47">
        <v>3249000</v>
      </c>
      <c r="J22" s="47">
        <v>3500000</v>
      </c>
      <c r="K22" s="47">
        <v>3749000</v>
      </c>
      <c r="L22" s="47">
        <v>4000000</v>
      </c>
      <c r="M22" s="47">
        <f t="shared" si="0"/>
        <v>14498000</v>
      </c>
      <c r="P22" s="53">
        <f t="shared" si="1"/>
        <v>3119040</v>
      </c>
      <c r="Q22" s="53">
        <f t="shared" si="2"/>
        <v>3360000</v>
      </c>
      <c r="R22" s="53">
        <f t="shared" si="3"/>
        <v>3599040</v>
      </c>
      <c r="S22" s="53">
        <f t="shared" si="4"/>
        <v>3840000</v>
      </c>
      <c r="T22" s="53">
        <f t="shared" si="5"/>
        <v>13918080</v>
      </c>
      <c r="V22" s="54">
        <f t="shared" si="6"/>
        <v>96</v>
      </c>
      <c r="W22" s="54">
        <f t="shared" si="7"/>
        <v>96</v>
      </c>
      <c r="X22" s="54">
        <f t="shared" si="8"/>
        <v>96</v>
      </c>
      <c r="Y22" s="54">
        <f t="shared" si="9"/>
        <v>96</v>
      </c>
      <c r="Z22" s="54">
        <f t="shared" si="10"/>
        <v>96</v>
      </c>
    </row>
    <row r="23" spans="1:26">
      <c r="A23" s="57" t="s">
        <v>886</v>
      </c>
      <c r="B23" s="6" t="s">
        <v>866</v>
      </c>
      <c r="C23" s="51">
        <v>97</v>
      </c>
      <c r="D23" s="51">
        <v>97</v>
      </c>
      <c r="E23" s="51">
        <v>97.5</v>
      </c>
      <c r="F23" s="51">
        <v>98</v>
      </c>
      <c r="G23" s="51">
        <v>98</v>
      </c>
      <c r="H23" s="7"/>
      <c r="I23" s="47">
        <v>2700000</v>
      </c>
      <c r="J23" s="47">
        <v>3200000</v>
      </c>
      <c r="K23" s="47">
        <v>3200000</v>
      </c>
      <c r="L23" s="47">
        <v>3200000</v>
      </c>
      <c r="M23" s="47">
        <f t="shared" si="0"/>
        <v>12300000</v>
      </c>
      <c r="P23" s="53">
        <f t="shared" si="1"/>
        <v>2619000</v>
      </c>
      <c r="Q23" s="53">
        <f t="shared" si="2"/>
        <v>3120000</v>
      </c>
      <c r="R23" s="53">
        <f t="shared" si="3"/>
        <v>3136000</v>
      </c>
      <c r="S23" s="53">
        <f t="shared" si="4"/>
        <v>3136000</v>
      </c>
      <c r="T23" s="53">
        <f t="shared" si="5"/>
        <v>12011000</v>
      </c>
      <c r="V23" s="54">
        <f t="shared" si="6"/>
        <v>97</v>
      </c>
      <c r="W23" s="54">
        <f t="shared" si="7"/>
        <v>97.5</v>
      </c>
      <c r="X23" s="54">
        <f t="shared" si="8"/>
        <v>98</v>
      </c>
      <c r="Y23" s="54">
        <f t="shared" si="9"/>
        <v>98</v>
      </c>
      <c r="Z23" s="54">
        <f t="shared" si="10"/>
        <v>97.650406504065046</v>
      </c>
    </row>
    <row r="24" spans="1:26">
      <c r="A24" s="52" t="s">
        <v>887</v>
      </c>
      <c r="B24" s="6" t="s">
        <v>866</v>
      </c>
      <c r="C24" s="54" t="s">
        <v>869</v>
      </c>
      <c r="D24" s="54">
        <v>84</v>
      </c>
      <c r="E24" s="54">
        <v>85</v>
      </c>
      <c r="F24" s="54">
        <v>86</v>
      </c>
      <c r="G24" s="54">
        <v>87</v>
      </c>
      <c r="H24" s="7"/>
      <c r="I24" s="47">
        <v>885000</v>
      </c>
      <c r="J24" s="47">
        <v>1107000</v>
      </c>
      <c r="K24" s="47">
        <v>1476000</v>
      </c>
      <c r="L24" s="47">
        <v>1476000</v>
      </c>
      <c r="M24" s="47">
        <f t="shared" si="0"/>
        <v>4944000</v>
      </c>
      <c r="P24" s="53">
        <f t="shared" si="1"/>
        <v>743400</v>
      </c>
      <c r="Q24" s="53">
        <f t="shared" si="2"/>
        <v>940950</v>
      </c>
      <c r="R24" s="53">
        <f t="shared" si="3"/>
        <v>1269360</v>
      </c>
      <c r="S24" s="53">
        <f t="shared" si="4"/>
        <v>1284120</v>
      </c>
      <c r="T24" s="53">
        <f t="shared" si="5"/>
        <v>4237830</v>
      </c>
      <c r="V24" s="54">
        <f t="shared" si="6"/>
        <v>84</v>
      </c>
      <c r="W24" s="54">
        <f t="shared" si="7"/>
        <v>85</v>
      </c>
      <c r="X24" s="54">
        <f t="shared" si="8"/>
        <v>86</v>
      </c>
      <c r="Y24" s="54">
        <f t="shared" si="9"/>
        <v>87</v>
      </c>
      <c r="Z24" s="54">
        <f t="shared" si="10"/>
        <v>85.716626213592235</v>
      </c>
    </row>
    <row r="25" spans="1:26">
      <c r="A25" s="57" t="s">
        <v>888</v>
      </c>
      <c r="B25" s="6" t="s">
        <v>866</v>
      </c>
      <c r="C25" s="54">
        <v>69.459999999999994</v>
      </c>
      <c r="D25" s="54">
        <v>80</v>
      </c>
      <c r="E25" s="54">
        <v>80</v>
      </c>
      <c r="F25" s="54">
        <v>85</v>
      </c>
      <c r="G25" s="54">
        <v>95</v>
      </c>
      <c r="H25" s="7"/>
      <c r="I25" s="47">
        <v>6600000</v>
      </c>
      <c r="J25" s="47">
        <v>6800000</v>
      </c>
      <c r="K25" s="47">
        <v>7000000</v>
      </c>
      <c r="L25" s="47">
        <v>7000000</v>
      </c>
      <c r="M25" s="47">
        <f t="shared" si="0"/>
        <v>27400000</v>
      </c>
      <c r="P25" s="53">
        <f t="shared" si="1"/>
        <v>5280000</v>
      </c>
      <c r="Q25" s="53">
        <f t="shared" si="2"/>
        <v>5440000</v>
      </c>
      <c r="R25" s="53">
        <f t="shared" si="3"/>
        <v>5950000</v>
      </c>
      <c r="S25" s="53">
        <f t="shared" si="4"/>
        <v>6650000</v>
      </c>
      <c r="T25" s="53">
        <f t="shared" si="5"/>
        <v>23320000</v>
      </c>
      <c r="V25" s="54">
        <f t="shared" si="6"/>
        <v>80</v>
      </c>
      <c r="W25" s="54">
        <f t="shared" si="7"/>
        <v>80</v>
      </c>
      <c r="X25" s="54">
        <f t="shared" si="8"/>
        <v>85</v>
      </c>
      <c r="Y25" s="54">
        <f t="shared" si="9"/>
        <v>95</v>
      </c>
      <c r="Z25" s="54">
        <f t="shared" si="10"/>
        <v>85.109489051094883</v>
      </c>
    </row>
    <row r="26" spans="1:26">
      <c r="A26" s="57" t="s">
        <v>889</v>
      </c>
      <c r="B26" s="6" t="s">
        <v>866</v>
      </c>
      <c r="C26" s="51">
        <v>97</v>
      </c>
      <c r="D26" s="51">
        <v>97</v>
      </c>
      <c r="E26" s="51">
        <v>97.5</v>
      </c>
      <c r="F26" s="51">
        <v>98</v>
      </c>
      <c r="G26" s="51">
        <v>98</v>
      </c>
      <c r="H26" s="7"/>
      <c r="I26" s="47">
        <v>3500000</v>
      </c>
      <c r="J26" s="47">
        <v>4200000</v>
      </c>
      <c r="K26" s="47">
        <v>4200000</v>
      </c>
      <c r="L26" s="47">
        <v>4200000</v>
      </c>
      <c r="M26" s="47">
        <f t="shared" si="0"/>
        <v>16100000</v>
      </c>
      <c r="P26" s="53">
        <f t="shared" si="1"/>
        <v>3395000</v>
      </c>
      <c r="Q26" s="53">
        <f t="shared" si="2"/>
        <v>4095000</v>
      </c>
      <c r="R26" s="53">
        <f t="shared" si="3"/>
        <v>4116000</v>
      </c>
      <c r="S26" s="53">
        <f t="shared" si="4"/>
        <v>4116000</v>
      </c>
      <c r="T26" s="53">
        <f t="shared" si="5"/>
        <v>15722000</v>
      </c>
      <c r="V26" s="54">
        <f t="shared" si="6"/>
        <v>97</v>
      </c>
      <c r="W26" s="54">
        <f t="shared" si="7"/>
        <v>97.5</v>
      </c>
      <c r="X26" s="54">
        <f t="shared" si="8"/>
        <v>98</v>
      </c>
      <c r="Y26" s="54">
        <f t="shared" si="9"/>
        <v>98</v>
      </c>
      <c r="Z26" s="54">
        <f t="shared" si="10"/>
        <v>97.652173913043484</v>
      </c>
    </row>
    <row r="27" spans="1:26">
      <c r="A27" s="57" t="s">
        <v>890</v>
      </c>
      <c r="B27" s="6" t="s">
        <v>866</v>
      </c>
      <c r="C27" s="51">
        <v>69</v>
      </c>
      <c r="D27" s="51">
        <v>69</v>
      </c>
      <c r="E27" s="51">
        <v>75</v>
      </c>
      <c r="F27" s="51">
        <v>80</v>
      </c>
      <c r="G27" s="51">
        <v>85</v>
      </c>
      <c r="H27" s="7"/>
      <c r="I27" s="16">
        <v>1503000</v>
      </c>
      <c r="J27" s="47">
        <v>1533000</v>
      </c>
      <c r="K27" s="47">
        <v>1563000</v>
      </c>
      <c r="L27" s="47">
        <v>1594000</v>
      </c>
      <c r="M27" s="47">
        <f t="shared" si="0"/>
        <v>6193000</v>
      </c>
      <c r="P27" s="53">
        <f t="shared" si="1"/>
        <v>1037069.9999999999</v>
      </c>
      <c r="Q27" s="53">
        <f t="shared" si="2"/>
        <v>1149750</v>
      </c>
      <c r="R27" s="53">
        <f t="shared" si="3"/>
        <v>1250400</v>
      </c>
      <c r="S27" s="53">
        <f t="shared" si="4"/>
        <v>1354900</v>
      </c>
      <c r="T27" s="53">
        <f t="shared" si="5"/>
        <v>4792120</v>
      </c>
      <c r="V27" s="54">
        <f t="shared" si="6"/>
        <v>69</v>
      </c>
      <c r="W27" s="54">
        <f t="shared" si="7"/>
        <v>75</v>
      </c>
      <c r="X27" s="54">
        <f t="shared" si="8"/>
        <v>80</v>
      </c>
      <c r="Y27" s="54">
        <f t="shared" si="9"/>
        <v>85</v>
      </c>
      <c r="Z27" s="54">
        <f t="shared" si="10"/>
        <v>77.379622154044895</v>
      </c>
    </row>
    <row r="28" spans="1:26" ht="15" customHeight="1">
      <c r="H28" s="7"/>
    </row>
    <row r="29" spans="1:26" ht="16.5" customHeight="1"/>
    <row r="30" spans="1:26" ht="16.5" customHeight="1"/>
    <row r="33" spans="1:23">
      <c r="A33" s="310" t="s">
        <v>856</v>
      </c>
      <c r="B33" s="310"/>
      <c r="C33" s="310"/>
      <c r="D33" s="310"/>
      <c r="E33" s="310"/>
      <c r="F33" s="310"/>
      <c r="G33" s="310"/>
      <c r="H33" s="310"/>
      <c r="I33" s="310"/>
      <c r="L33" s="310" t="s">
        <v>856</v>
      </c>
      <c r="M33" s="310"/>
      <c r="N33" s="310"/>
      <c r="O33" s="310"/>
      <c r="P33" s="310"/>
      <c r="Q33" s="310"/>
      <c r="R33" s="310"/>
      <c r="S33" s="310"/>
      <c r="T33" s="310"/>
      <c r="U33" s="310"/>
      <c r="V33" s="310"/>
    </row>
    <row r="34" spans="1:23">
      <c r="A34" s="310" t="s">
        <v>857</v>
      </c>
      <c r="B34" s="310"/>
      <c r="C34" s="310"/>
      <c r="D34" s="310"/>
      <c r="E34" s="310"/>
      <c r="F34" s="310"/>
      <c r="G34" s="310"/>
      <c r="H34" s="310"/>
      <c r="I34" s="310"/>
      <c r="L34" s="310" t="s">
        <v>857</v>
      </c>
      <c r="M34" s="310"/>
      <c r="N34" s="310"/>
      <c r="O34" s="310"/>
      <c r="P34" s="310"/>
      <c r="Q34" s="310"/>
      <c r="R34" s="310"/>
      <c r="S34" s="310"/>
      <c r="T34" s="310"/>
      <c r="U34" s="310"/>
      <c r="V34" s="310"/>
    </row>
    <row r="36" spans="1:23" ht="13.8">
      <c r="A36" s="311" t="s">
        <v>858</v>
      </c>
      <c r="B36" s="314" t="s">
        <v>891</v>
      </c>
      <c r="C36" s="304" t="s">
        <v>892</v>
      </c>
      <c r="D36" s="304"/>
      <c r="E36" s="304"/>
      <c r="F36" s="304"/>
      <c r="G36" s="304"/>
      <c r="H36" s="304"/>
      <c r="I36" s="304"/>
      <c r="J36" s="304"/>
      <c r="L36" s="311" t="s">
        <v>858</v>
      </c>
      <c r="M36" s="314" t="s">
        <v>891</v>
      </c>
      <c r="N36" s="314" t="s">
        <v>893</v>
      </c>
      <c r="O36" s="314" t="s">
        <v>894</v>
      </c>
      <c r="P36" s="304" t="s">
        <v>895</v>
      </c>
      <c r="Q36" s="304"/>
      <c r="R36" s="304"/>
      <c r="S36" s="304"/>
      <c r="T36" s="304"/>
      <c r="U36" s="304"/>
      <c r="V36" s="304"/>
      <c r="W36" s="304"/>
    </row>
    <row r="37" spans="1:23" ht="12">
      <c r="A37" s="312"/>
      <c r="B37" s="315"/>
      <c r="C37" s="304">
        <v>2020</v>
      </c>
      <c r="D37" s="304"/>
      <c r="E37" s="304">
        <v>2021</v>
      </c>
      <c r="F37" s="304"/>
      <c r="G37" s="304">
        <v>2022</v>
      </c>
      <c r="H37" s="304"/>
      <c r="I37" s="304">
        <v>2023</v>
      </c>
      <c r="J37" s="304"/>
      <c r="L37" s="312"/>
      <c r="M37" s="315"/>
      <c r="N37" s="315"/>
      <c r="O37" s="315"/>
      <c r="P37" s="304">
        <v>2020</v>
      </c>
      <c r="Q37" s="304"/>
      <c r="R37" s="304">
        <v>2021</v>
      </c>
      <c r="S37" s="304"/>
      <c r="T37" s="304">
        <v>2022</v>
      </c>
      <c r="U37" s="304"/>
      <c r="V37" s="304">
        <v>2023</v>
      </c>
      <c r="W37" s="304"/>
    </row>
    <row r="38" spans="1:23" ht="37.799999999999997">
      <c r="A38" s="313"/>
      <c r="B38" s="316"/>
      <c r="C38" s="4" t="s">
        <v>896</v>
      </c>
      <c r="D38" s="4" t="s">
        <v>897</v>
      </c>
      <c r="E38" s="4" t="s">
        <v>896</v>
      </c>
      <c r="F38" s="4" t="s">
        <v>897</v>
      </c>
      <c r="G38" s="4" t="s">
        <v>896</v>
      </c>
      <c r="H38" s="4" t="s">
        <v>897</v>
      </c>
      <c r="I38" s="4" t="s">
        <v>896</v>
      </c>
      <c r="J38" s="4" t="s">
        <v>897</v>
      </c>
      <c r="L38" s="313"/>
      <c r="M38" s="316"/>
      <c r="N38" s="316"/>
      <c r="O38" s="316"/>
      <c r="P38" s="4" t="s">
        <v>896</v>
      </c>
      <c r="Q38" s="4" t="s">
        <v>898</v>
      </c>
      <c r="R38" s="4" t="s">
        <v>896</v>
      </c>
      <c r="S38" s="4" t="s">
        <v>898</v>
      </c>
      <c r="T38" s="4" t="s">
        <v>896</v>
      </c>
      <c r="U38" s="4" t="s">
        <v>898</v>
      </c>
      <c r="V38" s="4" t="s">
        <v>896</v>
      </c>
      <c r="W38" s="4" t="s">
        <v>898</v>
      </c>
    </row>
    <row r="39" spans="1:23" ht="22.8">
      <c r="A39" s="48" t="s">
        <v>899</v>
      </c>
      <c r="B39" s="49"/>
      <c r="C39" s="16">
        <v>28000000</v>
      </c>
      <c r="D39" s="50">
        <v>118</v>
      </c>
      <c r="E39" s="34">
        <v>28839000</v>
      </c>
      <c r="F39" s="50">
        <v>114</v>
      </c>
      <c r="G39" s="34">
        <v>29705000</v>
      </c>
      <c r="H39" s="50">
        <v>107</v>
      </c>
      <c r="I39" s="16">
        <v>30595000</v>
      </c>
      <c r="J39" s="50">
        <v>104</v>
      </c>
      <c r="L39" s="52" t="s">
        <v>865</v>
      </c>
      <c r="M39" s="32" t="s">
        <v>866</v>
      </c>
      <c r="N39" s="16">
        <v>122252.39</v>
      </c>
      <c r="O39" s="16">
        <v>122159</v>
      </c>
      <c r="P39" s="16">
        <v>149000</v>
      </c>
      <c r="Q39" s="17">
        <v>1</v>
      </c>
      <c r="R39" s="34">
        <v>169000</v>
      </c>
      <c r="S39" s="17">
        <v>1</v>
      </c>
      <c r="T39" s="16">
        <v>180000</v>
      </c>
      <c r="U39" s="17">
        <v>1</v>
      </c>
      <c r="V39" s="16">
        <v>190000</v>
      </c>
      <c r="W39" s="17">
        <v>1</v>
      </c>
    </row>
    <row r="40" spans="1:23">
      <c r="A40" s="52" t="s">
        <v>865</v>
      </c>
      <c r="B40" s="32" t="s">
        <v>866</v>
      </c>
      <c r="C40" s="16">
        <v>149000</v>
      </c>
      <c r="D40" s="17">
        <v>1</v>
      </c>
      <c r="E40" s="34">
        <v>169000</v>
      </c>
      <c r="F40" s="17">
        <v>1</v>
      </c>
      <c r="G40" s="16">
        <v>180000</v>
      </c>
      <c r="H40" s="17">
        <v>1</v>
      </c>
      <c r="I40" s="16">
        <v>190000</v>
      </c>
      <c r="J40" s="17">
        <v>1</v>
      </c>
      <c r="L40" s="52" t="s">
        <v>867</v>
      </c>
      <c r="M40" s="32" t="s">
        <v>866</v>
      </c>
      <c r="N40" s="16">
        <v>8429515.2799999993</v>
      </c>
      <c r="O40" s="16">
        <v>3400000</v>
      </c>
      <c r="P40" s="16">
        <v>13000000</v>
      </c>
      <c r="Q40" s="17">
        <v>7</v>
      </c>
      <c r="R40" s="34">
        <v>13000000</v>
      </c>
      <c r="S40" s="17">
        <v>7</v>
      </c>
      <c r="T40" s="34">
        <v>13000000</v>
      </c>
      <c r="U40" s="17">
        <v>7</v>
      </c>
      <c r="V40" s="34">
        <v>13000000</v>
      </c>
      <c r="W40" s="17">
        <v>7</v>
      </c>
    </row>
    <row r="41" spans="1:23">
      <c r="A41" s="52" t="s">
        <v>867</v>
      </c>
      <c r="B41" s="32" t="s">
        <v>866</v>
      </c>
      <c r="C41" s="16">
        <v>13000000</v>
      </c>
      <c r="D41" s="17">
        <v>7</v>
      </c>
      <c r="E41" s="34">
        <v>13000000</v>
      </c>
      <c r="F41" s="17">
        <v>7</v>
      </c>
      <c r="G41" s="34">
        <v>13000000</v>
      </c>
      <c r="H41" s="17">
        <v>7</v>
      </c>
      <c r="I41" s="34">
        <v>13000000</v>
      </c>
      <c r="J41" s="17">
        <v>7</v>
      </c>
      <c r="L41" s="52" t="s">
        <v>868</v>
      </c>
      <c r="M41" s="32" t="s">
        <v>866</v>
      </c>
      <c r="N41" s="16">
        <v>0</v>
      </c>
      <c r="O41" s="35">
        <v>9</v>
      </c>
      <c r="P41" s="16">
        <v>1076000</v>
      </c>
      <c r="Q41" s="17">
        <v>0</v>
      </c>
      <c r="R41" s="16">
        <v>1209000</v>
      </c>
      <c r="S41" s="17">
        <v>4</v>
      </c>
      <c r="T41" s="16">
        <v>1362000</v>
      </c>
      <c r="U41" s="17">
        <v>2</v>
      </c>
      <c r="V41" s="16">
        <v>1362000</v>
      </c>
      <c r="W41" s="17">
        <v>2</v>
      </c>
    </row>
    <row r="42" spans="1:23">
      <c r="A42" s="52" t="s">
        <v>868</v>
      </c>
      <c r="B42" s="32" t="s">
        <v>866</v>
      </c>
      <c r="C42" s="16">
        <v>1076000</v>
      </c>
      <c r="D42" s="17">
        <v>0</v>
      </c>
      <c r="E42" s="16">
        <v>1209000</v>
      </c>
      <c r="F42" s="17">
        <v>4</v>
      </c>
      <c r="G42" s="16">
        <v>1362000</v>
      </c>
      <c r="H42" s="17">
        <v>2</v>
      </c>
      <c r="I42" s="16">
        <v>1362000</v>
      </c>
      <c r="J42" s="17">
        <v>2</v>
      </c>
      <c r="L42" s="52" t="s">
        <v>870</v>
      </c>
      <c r="M42" s="32" t="s">
        <v>866</v>
      </c>
      <c r="N42" s="16">
        <v>2987407.46</v>
      </c>
      <c r="O42" s="16">
        <v>6345134</v>
      </c>
      <c r="P42" s="16">
        <v>4816000</v>
      </c>
      <c r="Q42" s="17">
        <v>14</v>
      </c>
      <c r="R42" s="16">
        <v>4929000</v>
      </c>
      <c r="S42" s="17">
        <v>15</v>
      </c>
      <c r="T42" s="16">
        <v>5042000</v>
      </c>
      <c r="U42" s="17">
        <v>16</v>
      </c>
      <c r="V42" s="16">
        <v>5098000</v>
      </c>
      <c r="W42" s="17">
        <v>17</v>
      </c>
    </row>
    <row r="43" spans="1:23" ht="22.8">
      <c r="A43" s="52" t="s">
        <v>870</v>
      </c>
      <c r="B43" s="32" t="s">
        <v>866</v>
      </c>
      <c r="C43" s="16">
        <v>4816000</v>
      </c>
      <c r="D43" s="17">
        <v>14</v>
      </c>
      <c r="E43" s="16">
        <v>4929000</v>
      </c>
      <c r="F43" s="17">
        <v>15</v>
      </c>
      <c r="G43" s="16">
        <v>5042000</v>
      </c>
      <c r="H43" s="17">
        <v>16</v>
      </c>
      <c r="I43" s="16">
        <v>5098000</v>
      </c>
      <c r="J43" s="17">
        <v>17</v>
      </c>
      <c r="L43" s="52" t="s">
        <v>871</v>
      </c>
      <c r="M43" s="32" t="s">
        <v>872</v>
      </c>
      <c r="N43" s="34">
        <v>22312690.640000001</v>
      </c>
      <c r="O43" s="16">
        <v>20173363</v>
      </c>
      <c r="P43" s="16">
        <v>20133000</v>
      </c>
      <c r="Q43" s="17">
        <v>5</v>
      </c>
      <c r="R43" s="16">
        <v>20188000</v>
      </c>
      <c r="S43" s="17">
        <v>5</v>
      </c>
      <c r="T43" s="16">
        <v>20209000</v>
      </c>
      <c r="U43" s="17">
        <v>5</v>
      </c>
      <c r="V43" s="16">
        <v>19546000</v>
      </c>
      <c r="W43" s="17">
        <v>5</v>
      </c>
    </row>
    <row r="44" spans="1:23">
      <c r="A44" s="52" t="s">
        <v>871</v>
      </c>
      <c r="B44" s="32" t="s">
        <v>872</v>
      </c>
      <c r="C44" s="16">
        <v>20133000</v>
      </c>
      <c r="D44" s="17">
        <v>5</v>
      </c>
      <c r="E44" s="16">
        <v>20188000</v>
      </c>
      <c r="F44" s="17">
        <v>5</v>
      </c>
      <c r="G44" s="16">
        <v>20209000</v>
      </c>
      <c r="H44" s="17">
        <v>5</v>
      </c>
      <c r="I44" s="16">
        <v>19546000</v>
      </c>
      <c r="J44" s="17">
        <v>5</v>
      </c>
      <c r="L44" s="52" t="s">
        <v>873</v>
      </c>
      <c r="M44" s="32" t="s">
        <v>874</v>
      </c>
      <c r="N44" s="16">
        <v>46886019.049999997</v>
      </c>
      <c r="O44" s="16">
        <v>48000000</v>
      </c>
      <c r="P44" s="16">
        <v>48000000</v>
      </c>
      <c r="Q44" s="36">
        <v>12</v>
      </c>
      <c r="R44" s="16">
        <v>46500000</v>
      </c>
      <c r="S44" s="36">
        <v>12</v>
      </c>
      <c r="T44" s="16">
        <v>45000000</v>
      </c>
      <c r="U44" s="36">
        <v>11</v>
      </c>
      <c r="V44" s="16">
        <v>44000000</v>
      </c>
      <c r="W44" s="36">
        <f>V44/4000000</f>
        <v>11</v>
      </c>
    </row>
    <row r="45" spans="1:23" ht="22.8">
      <c r="A45" s="52" t="s">
        <v>873</v>
      </c>
      <c r="B45" s="32" t="s">
        <v>874</v>
      </c>
      <c r="C45" s="16">
        <v>48000000</v>
      </c>
      <c r="D45" s="36">
        <v>12</v>
      </c>
      <c r="E45" s="16">
        <v>46500000</v>
      </c>
      <c r="F45" s="36">
        <v>12</v>
      </c>
      <c r="G45" s="16">
        <v>45000000</v>
      </c>
      <c r="H45" s="36">
        <v>11</v>
      </c>
      <c r="I45" s="16">
        <v>44000000</v>
      </c>
      <c r="J45" s="36">
        <f>I45/4000000</f>
        <v>11</v>
      </c>
      <c r="L45" s="52" t="s">
        <v>875</v>
      </c>
      <c r="M45" s="32" t="s">
        <v>866</v>
      </c>
      <c r="N45" s="16">
        <v>9122675.1199999992</v>
      </c>
      <c r="O45" s="16">
        <v>8500000</v>
      </c>
      <c r="P45" s="16">
        <v>6000000</v>
      </c>
      <c r="Q45" s="17">
        <v>7</v>
      </c>
      <c r="R45" s="16">
        <v>8000000</v>
      </c>
      <c r="S45" s="17">
        <v>8</v>
      </c>
      <c r="T45" s="16">
        <v>8500000</v>
      </c>
      <c r="U45" s="17">
        <v>9</v>
      </c>
      <c r="V45" s="16">
        <v>8500000</v>
      </c>
      <c r="W45" s="17">
        <v>9</v>
      </c>
    </row>
    <row r="46" spans="1:23" ht="22.8">
      <c r="A46" s="52" t="s">
        <v>875</v>
      </c>
      <c r="B46" s="32" t="s">
        <v>866</v>
      </c>
      <c r="C46" s="16">
        <v>6000000</v>
      </c>
      <c r="D46" s="17">
        <v>7</v>
      </c>
      <c r="E46" s="16">
        <v>8000000</v>
      </c>
      <c r="F46" s="17">
        <v>8</v>
      </c>
      <c r="G46" s="16">
        <v>8500000</v>
      </c>
      <c r="H46" s="17">
        <v>9</v>
      </c>
      <c r="I46" s="16">
        <v>8500000</v>
      </c>
      <c r="J46" s="17">
        <v>9</v>
      </c>
      <c r="L46" s="52" t="s">
        <v>876</v>
      </c>
      <c r="M46" s="32" t="s">
        <v>866</v>
      </c>
      <c r="N46" s="16">
        <v>1151996.78</v>
      </c>
      <c r="O46" s="16">
        <v>2513875</v>
      </c>
      <c r="P46" s="16">
        <v>1765000</v>
      </c>
      <c r="Q46" s="17">
        <v>6</v>
      </c>
      <c r="R46" s="16">
        <v>2031000</v>
      </c>
      <c r="S46" s="17">
        <v>6</v>
      </c>
      <c r="T46" s="16">
        <v>2335000</v>
      </c>
      <c r="U46" s="17">
        <v>7</v>
      </c>
      <c r="V46" s="16">
        <v>2685000</v>
      </c>
      <c r="W46" s="17">
        <v>8</v>
      </c>
    </row>
    <row r="47" spans="1:23">
      <c r="A47" s="52" t="s">
        <v>876</v>
      </c>
      <c r="B47" s="32" t="s">
        <v>866</v>
      </c>
      <c r="C47" s="16">
        <v>1765000</v>
      </c>
      <c r="D47" s="17">
        <v>6</v>
      </c>
      <c r="E47" s="16">
        <v>2031000</v>
      </c>
      <c r="F47" s="17">
        <v>6</v>
      </c>
      <c r="G47" s="16">
        <v>2335000</v>
      </c>
      <c r="H47" s="17">
        <v>7</v>
      </c>
      <c r="I47" s="16">
        <v>2685000</v>
      </c>
      <c r="J47" s="17">
        <v>8</v>
      </c>
      <c r="L47" s="52" t="s">
        <v>877</v>
      </c>
      <c r="M47" s="32" t="s">
        <v>866</v>
      </c>
      <c r="N47" s="16">
        <v>4939317.87</v>
      </c>
      <c r="O47" s="16">
        <v>9100523</v>
      </c>
      <c r="P47" s="16">
        <v>7572000</v>
      </c>
      <c r="Q47" s="17">
        <v>15</v>
      </c>
      <c r="R47" s="16">
        <v>8709000</v>
      </c>
      <c r="S47" s="17">
        <v>16</v>
      </c>
      <c r="T47" s="16">
        <v>10015000</v>
      </c>
      <c r="U47" s="17">
        <v>17</v>
      </c>
      <c r="V47" s="16">
        <v>11518000</v>
      </c>
      <c r="W47" s="17">
        <v>18</v>
      </c>
    </row>
    <row r="48" spans="1:23" ht="22.8">
      <c r="A48" s="52" t="s">
        <v>877</v>
      </c>
      <c r="B48" s="32" t="s">
        <v>866</v>
      </c>
      <c r="C48" s="16">
        <v>7572000</v>
      </c>
      <c r="D48" s="17">
        <v>15</v>
      </c>
      <c r="E48" s="16">
        <v>8709000</v>
      </c>
      <c r="F48" s="17">
        <v>16</v>
      </c>
      <c r="G48" s="16">
        <v>10015000</v>
      </c>
      <c r="H48" s="17">
        <v>17</v>
      </c>
      <c r="I48" s="16">
        <v>11518000</v>
      </c>
      <c r="J48" s="17">
        <v>18</v>
      </c>
      <c r="L48" s="52" t="s">
        <v>878</v>
      </c>
      <c r="M48" s="32" t="s">
        <v>879</v>
      </c>
      <c r="N48" s="16">
        <v>8024694.6799999997</v>
      </c>
      <c r="O48" s="16">
        <v>8000000</v>
      </c>
      <c r="P48" s="37">
        <v>8000000</v>
      </c>
      <c r="Q48" s="38">
        <v>12</v>
      </c>
      <c r="R48" s="37">
        <v>8000000</v>
      </c>
      <c r="S48" s="38">
        <v>12</v>
      </c>
      <c r="T48" s="37">
        <v>8000000</v>
      </c>
      <c r="U48" s="38">
        <v>12</v>
      </c>
      <c r="V48" s="37">
        <v>8000000</v>
      </c>
      <c r="W48" s="38">
        <v>12</v>
      </c>
    </row>
    <row r="49" spans="1:23" ht="22.8">
      <c r="A49" s="52" t="s">
        <v>878</v>
      </c>
      <c r="B49" s="32" t="s">
        <v>879</v>
      </c>
      <c r="C49" s="37">
        <v>8000000</v>
      </c>
      <c r="D49" s="38">
        <v>12</v>
      </c>
      <c r="E49" s="37">
        <v>8000000</v>
      </c>
      <c r="F49" s="38">
        <v>12</v>
      </c>
      <c r="G49" s="37">
        <v>8000000</v>
      </c>
      <c r="H49" s="38">
        <v>12</v>
      </c>
      <c r="I49" s="37">
        <v>8000000</v>
      </c>
      <c r="J49" s="38">
        <v>12</v>
      </c>
      <c r="L49" s="52" t="s">
        <v>880</v>
      </c>
      <c r="M49" s="32" t="s">
        <v>866</v>
      </c>
      <c r="N49" s="16">
        <v>2835016.84</v>
      </c>
      <c r="O49" s="16">
        <v>8000000</v>
      </c>
      <c r="P49" s="39">
        <v>5700000</v>
      </c>
      <c r="Q49" s="40">
        <v>20</v>
      </c>
      <c r="R49" s="39">
        <v>5723000</v>
      </c>
      <c r="S49" s="40">
        <v>20</v>
      </c>
      <c r="T49" s="39">
        <v>5739000</v>
      </c>
      <c r="U49" s="40">
        <v>20</v>
      </c>
      <c r="V49" s="39">
        <v>5759000</v>
      </c>
      <c r="W49" s="40">
        <v>20</v>
      </c>
    </row>
    <row r="50" spans="1:23" ht="22.8">
      <c r="A50" s="52" t="s">
        <v>880</v>
      </c>
      <c r="B50" s="32" t="s">
        <v>866</v>
      </c>
      <c r="C50" s="39">
        <v>5700000</v>
      </c>
      <c r="D50" s="40">
        <v>20</v>
      </c>
      <c r="E50" s="39">
        <v>5723000</v>
      </c>
      <c r="F50" s="40">
        <v>20</v>
      </c>
      <c r="G50" s="39">
        <v>5739000</v>
      </c>
      <c r="H50" s="40">
        <v>20</v>
      </c>
      <c r="I50" s="39">
        <v>5759000</v>
      </c>
      <c r="J50" s="40">
        <v>20</v>
      </c>
      <c r="L50" s="52" t="s">
        <v>881</v>
      </c>
      <c r="M50" s="32" t="s">
        <v>866</v>
      </c>
      <c r="N50" s="16">
        <v>1800649.86</v>
      </c>
      <c r="O50" s="16">
        <v>3381927</v>
      </c>
      <c r="P50" s="16">
        <v>2617000</v>
      </c>
      <c r="Q50" s="40">
        <v>7</v>
      </c>
      <c r="R50" s="16">
        <v>2682000</v>
      </c>
      <c r="S50" s="40">
        <v>8</v>
      </c>
      <c r="T50" s="16">
        <v>2748000</v>
      </c>
      <c r="U50" s="40">
        <v>9</v>
      </c>
      <c r="V50" s="16">
        <v>2813000</v>
      </c>
      <c r="W50" s="40">
        <v>10</v>
      </c>
    </row>
    <row r="51" spans="1:23">
      <c r="A51" s="52" t="s">
        <v>881</v>
      </c>
      <c r="B51" s="32" t="s">
        <v>866</v>
      </c>
      <c r="C51" s="16">
        <v>2617000</v>
      </c>
      <c r="D51" s="40">
        <v>7</v>
      </c>
      <c r="E51" s="16">
        <v>2682000</v>
      </c>
      <c r="F51" s="40">
        <v>8</v>
      </c>
      <c r="G51" s="16">
        <v>2748000</v>
      </c>
      <c r="H51" s="40">
        <v>9</v>
      </c>
      <c r="I51" s="16">
        <v>2813000</v>
      </c>
      <c r="J51" s="40">
        <v>10</v>
      </c>
      <c r="L51" s="52" t="s">
        <v>882</v>
      </c>
      <c r="M51" s="32" t="s">
        <v>866</v>
      </c>
      <c r="N51" s="16">
        <v>5257910.47</v>
      </c>
      <c r="O51" s="16">
        <v>9571428</v>
      </c>
      <c r="P51" s="41">
        <v>5500000</v>
      </c>
      <c r="Q51" s="42">
        <v>15</v>
      </c>
      <c r="R51" s="41">
        <v>5749000</v>
      </c>
      <c r="S51" s="43">
        <v>15</v>
      </c>
      <c r="T51" s="41">
        <v>6000000</v>
      </c>
      <c r="U51" s="43">
        <v>16</v>
      </c>
      <c r="V51" s="41">
        <v>6249000</v>
      </c>
      <c r="W51" s="43">
        <v>17</v>
      </c>
    </row>
    <row r="52" spans="1:23" ht="22.8">
      <c r="A52" s="52" t="s">
        <v>882</v>
      </c>
      <c r="B52" s="32" t="s">
        <v>866</v>
      </c>
      <c r="C52" s="41">
        <v>5500000</v>
      </c>
      <c r="D52" s="42">
        <v>15</v>
      </c>
      <c r="E52" s="41">
        <v>5749000</v>
      </c>
      <c r="F52" s="43">
        <v>15</v>
      </c>
      <c r="G52" s="41">
        <v>6000000</v>
      </c>
      <c r="H52" s="43">
        <v>16</v>
      </c>
      <c r="I52" s="41">
        <v>6249000</v>
      </c>
      <c r="J52" s="43">
        <v>17</v>
      </c>
      <c r="L52" s="52" t="s">
        <v>883</v>
      </c>
      <c r="M52" s="32" t="s">
        <v>866</v>
      </c>
      <c r="N52" s="16">
        <v>0</v>
      </c>
      <c r="O52" s="16">
        <v>726000</v>
      </c>
      <c r="P52" s="16">
        <v>2000000</v>
      </c>
      <c r="Q52" s="17">
        <v>10</v>
      </c>
      <c r="R52" s="34">
        <v>2495000</v>
      </c>
      <c r="S52" s="17">
        <v>12</v>
      </c>
      <c r="T52" s="34">
        <v>3326000</v>
      </c>
      <c r="U52" s="17">
        <v>18</v>
      </c>
      <c r="V52" s="34">
        <v>3326000</v>
      </c>
      <c r="W52" s="17">
        <v>18</v>
      </c>
    </row>
    <row r="53" spans="1:23">
      <c r="A53" s="52" t="s">
        <v>883</v>
      </c>
      <c r="B53" s="32" t="s">
        <v>866</v>
      </c>
      <c r="C53" s="16">
        <v>2000000</v>
      </c>
      <c r="D53" s="17">
        <v>10</v>
      </c>
      <c r="E53" s="34">
        <v>2495000</v>
      </c>
      <c r="F53" s="17">
        <v>12</v>
      </c>
      <c r="G53" s="34">
        <v>3326000</v>
      </c>
      <c r="H53" s="17">
        <v>18</v>
      </c>
      <c r="I53" s="34">
        <v>3326000</v>
      </c>
      <c r="J53" s="17">
        <v>18</v>
      </c>
      <c r="L53" s="52" t="s">
        <v>884</v>
      </c>
      <c r="M53" s="32" t="s">
        <v>866</v>
      </c>
      <c r="N53" s="16">
        <v>2719469.85</v>
      </c>
      <c r="O53" s="16">
        <v>3186323</v>
      </c>
      <c r="P53" s="16">
        <v>3041000</v>
      </c>
      <c r="Q53" s="17">
        <v>7</v>
      </c>
      <c r="R53" s="16">
        <v>3133000</v>
      </c>
      <c r="S53" s="17">
        <v>7</v>
      </c>
      <c r="T53" s="16">
        <v>3227000</v>
      </c>
      <c r="U53" s="17">
        <v>8</v>
      </c>
      <c r="V53" s="16">
        <v>3333000</v>
      </c>
      <c r="W53" s="17">
        <v>8</v>
      </c>
    </row>
    <row r="54" spans="1:23">
      <c r="A54" s="52" t="s">
        <v>884</v>
      </c>
      <c r="B54" s="32" t="s">
        <v>866</v>
      </c>
      <c r="C54" s="16">
        <v>3041000</v>
      </c>
      <c r="D54" s="17">
        <v>7</v>
      </c>
      <c r="E54" s="16">
        <v>3133000</v>
      </c>
      <c r="F54" s="17">
        <v>7</v>
      </c>
      <c r="G54" s="16">
        <v>3227000</v>
      </c>
      <c r="H54" s="17">
        <v>8</v>
      </c>
      <c r="I54" s="16">
        <v>3333000</v>
      </c>
      <c r="J54" s="17">
        <v>8</v>
      </c>
      <c r="L54" s="52" t="s">
        <v>885</v>
      </c>
      <c r="M54" s="32" t="s">
        <v>866</v>
      </c>
      <c r="N54" s="16">
        <v>2458092.44</v>
      </c>
      <c r="O54" s="16">
        <v>3142857</v>
      </c>
      <c r="P54" s="16">
        <v>3249000</v>
      </c>
      <c r="Q54" s="17">
        <v>12</v>
      </c>
      <c r="R54" s="34">
        <v>3500000</v>
      </c>
      <c r="S54" s="17">
        <v>12</v>
      </c>
      <c r="T54" s="34">
        <v>3749000</v>
      </c>
      <c r="U54" s="17">
        <v>12</v>
      </c>
      <c r="V54" s="34">
        <v>4000000</v>
      </c>
      <c r="W54" s="17">
        <v>12</v>
      </c>
    </row>
    <row r="55" spans="1:23" ht="22.8">
      <c r="A55" s="52" t="s">
        <v>885</v>
      </c>
      <c r="B55" s="32" t="s">
        <v>866</v>
      </c>
      <c r="C55" s="16">
        <v>3249000</v>
      </c>
      <c r="D55" s="17">
        <v>12</v>
      </c>
      <c r="E55" s="34">
        <v>3500000</v>
      </c>
      <c r="F55" s="17">
        <v>12</v>
      </c>
      <c r="G55" s="34">
        <v>3749000</v>
      </c>
      <c r="H55" s="17">
        <v>12</v>
      </c>
      <c r="I55" s="34">
        <v>4000000</v>
      </c>
      <c r="J55" s="17">
        <v>12</v>
      </c>
      <c r="L55" s="52" t="s">
        <v>886</v>
      </c>
      <c r="M55" s="32" t="s">
        <v>866</v>
      </c>
      <c r="N55" s="16">
        <v>819031.64</v>
      </c>
      <c r="O55" s="16">
        <v>2315961</v>
      </c>
      <c r="P55" s="16">
        <v>2700000</v>
      </c>
      <c r="Q55" s="44">
        <v>5</v>
      </c>
      <c r="R55" s="16">
        <v>3200000</v>
      </c>
      <c r="S55" s="44">
        <v>5</v>
      </c>
      <c r="T55" s="16">
        <v>3200000</v>
      </c>
      <c r="U55" s="44">
        <v>5</v>
      </c>
      <c r="V55" s="16">
        <v>3200000</v>
      </c>
      <c r="W55" s="44">
        <v>5</v>
      </c>
    </row>
    <row r="56" spans="1:23" ht="22.8">
      <c r="A56" s="52" t="s">
        <v>886</v>
      </c>
      <c r="B56" s="32" t="s">
        <v>866</v>
      </c>
      <c r="C56" s="16">
        <v>2700000</v>
      </c>
      <c r="D56" s="44">
        <v>5</v>
      </c>
      <c r="E56" s="16">
        <v>3200000</v>
      </c>
      <c r="F56" s="44">
        <v>5</v>
      </c>
      <c r="G56" s="16">
        <v>3200000</v>
      </c>
      <c r="H56" s="44">
        <v>5</v>
      </c>
      <c r="I56" s="16">
        <v>3200000</v>
      </c>
      <c r="J56" s="44">
        <v>5</v>
      </c>
      <c r="L56" s="52" t="s">
        <v>887</v>
      </c>
      <c r="M56" s="32" t="s">
        <v>866</v>
      </c>
      <c r="N56" s="16">
        <v>0</v>
      </c>
      <c r="O56" s="35">
        <v>9</v>
      </c>
      <c r="P56" s="16">
        <v>885000</v>
      </c>
      <c r="Q56" s="17">
        <v>0</v>
      </c>
      <c r="R56" s="45">
        <v>1107000</v>
      </c>
      <c r="S56" s="46">
        <v>4</v>
      </c>
      <c r="T56" s="45">
        <v>1476000</v>
      </c>
      <c r="U56" s="46">
        <v>3</v>
      </c>
      <c r="V56" s="45">
        <v>1476000</v>
      </c>
      <c r="W56" s="46">
        <v>4</v>
      </c>
    </row>
    <row r="57" spans="1:23">
      <c r="A57" s="52" t="s">
        <v>887</v>
      </c>
      <c r="B57" s="32" t="s">
        <v>866</v>
      </c>
      <c r="C57" s="16">
        <v>885000</v>
      </c>
      <c r="D57" s="17">
        <v>0</v>
      </c>
      <c r="E57" s="45">
        <v>1107000</v>
      </c>
      <c r="F57" s="46">
        <v>4</v>
      </c>
      <c r="G57" s="45">
        <v>1476000</v>
      </c>
      <c r="H57" s="46">
        <v>3</v>
      </c>
      <c r="I57" s="45">
        <v>1476000</v>
      </c>
      <c r="J57" s="46">
        <v>4</v>
      </c>
      <c r="L57" s="52" t="s">
        <v>888</v>
      </c>
      <c r="M57" s="32" t="s">
        <v>866</v>
      </c>
      <c r="N57" s="16">
        <v>4905935.34</v>
      </c>
      <c r="O57" s="16">
        <v>6600000</v>
      </c>
      <c r="P57" s="16">
        <v>6600000</v>
      </c>
      <c r="Q57" s="17">
        <v>10</v>
      </c>
      <c r="R57" s="16">
        <v>6800000</v>
      </c>
      <c r="S57" s="17">
        <v>10</v>
      </c>
      <c r="T57" s="34">
        <v>7000000</v>
      </c>
      <c r="U57" s="17">
        <v>11</v>
      </c>
      <c r="V57" s="34">
        <v>7000000</v>
      </c>
      <c r="W57" s="17">
        <v>11</v>
      </c>
    </row>
    <row r="58" spans="1:23" ht="22.8">
      <c r="A58" s="52" t="s">
        <v>888</v>
      </c>
      <c r="B58" s="32" t="s">
        <v>866</v>
      </c>
      <c r="C58" s="16">
        <v>6600000</v>
      </c>
      <c r="D58" s="17">
        <v>10</v>
      </c>
      <c r="E58" s="16">
        <v>6800000</v>
      </c>
      <c r="F58" s="17">
        <v>10</v>
      </c>
      <c r="G58" s="34">
        <v>7000000</v>
      </c>
      <c r="H58" s="17">
        <v>11</v>
      </c>
      <c r="I58" s="34">
        <v>7000000</v>
      </c>
      <c r="J58" s="17">
        <v>11</v>
      </c>
      <c r="L58" s="52" t="s">
        <v>889</v>
      </c>
      <c r="M58" s="32" t="s">
        <v>866</v>
      </c>
      <c r="N58" s="16">
        <v>470033.02</v>
      </c>
      <c r="O58" s="16">
        <v>3018018</v>
      </c>
      <c r="P58" s="16">
        <v>3500000</v>
      </c>
      <c r="Q58" s="44">
        <v>7</v>
      </c>
      <c r="R58" s="16">
        <v>4200000</v>
      </c>
      <c r="S58" s="44">
        <v>7</v>
      </c>
      <c r="T58" s="16">
        <v>4200000</v>
      </c>
      <c r="U58" s="44">
        <v>7</v>
      </c>
      <c r="V58" s="16">
        <v>4200000</v>
      </c>
      <c r="W58" s="44">
        <v>7</v>
      </c>
    </row>
    <row r="59" spans="1:23" ht="22.8">
      <c r="A59" s="52" t="s">
        <v>889</v>
      </c>
      <c r="B59" s="32" t="s">
        <v>866</v>
      </c>
      <c r="C59" s="16">
        <v>3500000</v>
      </c>
      <c r="D59" s="44">
        <v>7</v>
      </c>
      <c r="E59" s="16">
        <v>4200000</v>
      </c>
      <c r="F59" s="44">
        <v>7</v>
      </c>
      <c r="G59" s="16">
        <v>4200000</v>
      </c>
      <c r="H59" s="44">
        <v>7</v>
      </c>
      <c r="I59" s="16">
        <v>4200000</v>
      </c>
      <c r="J59" s="44">
        <v>7</v>
      </c>
      <c r="L59" s="52" t="s">
        <v>900</v>
      </c>
      <c r="M59" s="32" t="s">
        <v>866</v>
      </c>
      <c r="N59" s="16">
        <v>447657.21</v>
      </c>
      <c r="O59" s="16">
        <v>1366762</v>
      </c>
      <c r="P59" s="16">
        <v>1503000</v>
      </c>
      <c r="Q59" s="17">
        <v>6</v>
      </c>
      <c r="R59" s="47">
        <v>1533000</v>
      </c>
      <c r="S59" s="17">
        <v>6</v>
      </c>
      <c r="T59" s="47">
        <v>1563000</v>
      </c>
      <c r="U59" s="17">
        <v>6</v>
      </c>
      <c r="V59" s="47">
        <v>1594000</v>
      </c>
      <c r="W59" s="17">
        <v>6</v>
      </c>
    </row>
    <row r="60" spans="1:23" ht="12">
      <c r="A60" s="52" t="s">
        <v>900</v>
      </c>
      <c r="B60" s="32" t="s">
        <v>866</v>
      </c>
      <c r="C60" s="16">
        <v>1503000</v>
      </c>
      <c r="D60" s="17">
        <v>6</v>
      </c>
      <c r="E60" s="47">
        <v>1533000</v>
      </c>
      <c r="F60" s="17">
        <v>6</v>
      </c>
      <c r="G60" s="47">
        <v>1563000</v>
      </c>
      <c r="H60" s="17">
        <v>6</v>
      </c>
      <c r="I60" s="47">
        <v>1594000</v>
      </c>
      <c r="J60" s="17">
        <v>6</v>
      </c>
      <c r="L60" s="304" t="s">
        <v>901</v>
      </c>
      <c r="M60" s="304"/>
      <c r="N60" s="12">
        <f t="shared" ref="N60:W60" si="11">SUM(N39:N59)</f>
        <v>125690365.94</v>
      </c>
      <c r="O60" s="10">
        <f t="shared" si="11"/>
        <v>147464348</v>
      </c>
      <c r="P60" s="10">
        <f t="shared" si="11"/>
        <v>147806000</v>
      </c>
      <c r="Q60" s="22">
        <f t="shared" si="11"/>
        <v>178</v>
      </c>
      <c r="R60" s="10">
        <f t="shared" si="11"/>
        <v>152857000</v>
      </c>
      <c r="S60" s="22">
        <f t="shared" si="11"/>
        <v>192</v>
      </c>
      <c r="T60" s="10">
        <f t="shared" si="11"/>
        <v>155871000</v>
      </c>
      <c r="U60" s="22">
        <f t="shared" si="11"/>
        <v>202</v>
      </c>
      <c r="V60" s="10">
        <f t="shared" si="11"/>
        <v>156849000</v>
      </c>
      <c r="W60" s="22">
        <f t="shared" si="11"/>
        <v>208</v>
      </c>
    </row>
    <row r="61" spans="1:23" ht="12">
      <c r="A61" s="304" t="s">
        <v>901</v>
      </c>
      <c r="B61" s="304"/>
      <c r="C61" s="10">
        <f t="shared" ref="C61:J61" si="12">SUM(C39:C60)</f>
        <v>175806000</v>
      </c>
      <c r="D61" s="22">
        <f t="shared" si="12"/>
        <v>296</v>
      </c>
      <c r="E61" s="10">
        <f t="shared" si="12"/>
        <v>181696000</v>
      </c>
      <c r="F61" s="22">
        <f t="shared" si="12"/>
        <v>306</v>
      </c>
      <c r="G61" s="10">
        <f t="shared" si="12"/>
        <v>185576000</v>
      </c>
      <c r="H61" s="22">
        <f t="shared" si="12"/>
        <v>309</v>
      </c>
      <c r="I61" s="10">
        <f t="shared" si="12"/>
        <v>187444000</v>
      </c>
      <c r="J61" s="22">
        <f t="shared" si="12"/>
        <v>312</v>
      </c>
      <c r="N61" s="2"/>
      <c r="O61" s="3"/>
      <c r="P61" s="3"/>
    </row>
    <row r="62" spans="1:23">
      <c r="C62" s="3"/>
      <c r="L62" s="303" t="s">
        <v>902</v>
      </c>
      <c r="M62" s="303"/>
      <c r="N62" s="303"/>
      <c r="O62" s="303"/>
      <c r="P62" s="303"/>
      <c r="Q62" s="303"/>
    </row>
    <row r="63" spans="1:23">
      <c r="A63" s="303" t="s">
        <v>902</v>
      </c>
      <c r="B63" s="303"/>
      <c r="C63" s="303"/>
      <c r="D63" s="303"/>
      <c r="E63" s="303"/>
      <c r="F63" s="303"/>
      <c r="G63" s="303"/>
      <c r="H63" s="303"/>
      <c r="I63" s="303"/>
      <c r="J63" s="303"/>
      <c r="L63" s="317" t="s">
        <v>903</v>
      </c>
      <c r="M63" s="317"/>
      <c r="N63" s="317"/>
      <c r="O63" s="317"/>
      <c r="P63" s="317"/>
      <c r="Q63" s="317"/>
      <c r="R63" s="13"/>
      <c r="S63" s="13"/>
      <c r="T63" s="13"/>
      <c r="U63" s="13"/>
      <c r="V63" s="13"/>
    </row>
    <row r="64" spans="1:23">
      <c r="A64" s="303" t="s">
        <v>904</v>
      </c>
      <c r="B64" s="303"/>
      <c r="C64" s="303"/>
      <c r="D64" s="303"/>
      <c r="E64" s="303"/>
      <c r="F64" s="303"/>
      <c r="G64" s="303"/>
      <c r="H64" s="303"/>
      <c r="I64" s="303"/>
      <c r="J64" s="303"/>
      <c r="L64" s="303" t="s">
        <v>905</v>
      </c>
      <c r="M64" s="303"/>
      <c r="N64" s="303"/>
      <c r="O64" s="303"/>
      <c r="P64" s="303"/>
      <c r="Q64" s="303"/>
      <c r="R64" s="298"/>
      <c r="S64" s="298"/>
      <c r="T64" s="298"/>
      <c r="U64" s="298"/>
      <c r="V64" s="298"/>
    </row>
    <row r="65" spans="1:22">
      <c r="A65" s="303" t="s">
        <v>906</v>
      </c>
      <c r="B65" s="303"/>
      <c r="C65" s="303"/>
      <c r="D65" s="303"/>
      <c r="E65" s="303"/>
      <c r="F65" s="303"/>
      <c r="G65" s="303"/>
      <c r="H65" s="303"/>
      <c r="I65" s="303"/>
      <c r="J65" s="303"/>
      <c r="L65" s="303" t="s">
        <v>907</v>
      </c>
      <c r="M65" s="303"/>
      <c r="N65" s="303"/>
      <c r="O65" s="303"/>
      <c r="P65" s="303"/>
      <c r="Q65" s="303"/>
      <c r="R65" s="298"/>
      <c r="S65" s="298"/>
      <c r="T65" s="298"/>
      <c r="U65" s="298"/>
      <c r="V65" s="298"/>
    </row>
    <row r="66" spans="1:22">
      <c r="A66" s="303" t="s">
        <v>908</v>
      </c>
      <c r="B66" s="303"/>
      <c r="C66" s="303"/>
      <c r="D66" s="303"/>
      <c r="E66" s="303"/>
      <c r="F66" s="303"/>
      <c r="G66" s="303"/>
      <c r="H66" s="303"/>
      <c r="I66" s="303"/>
      <c r="J66" s="303"/>
      <c r="L66" s="303" t="s">
        <v>909</v>
      </c>
      <c r="M66" s="303"/>
      <c r="N66" s="303"/>
      <c r="O66" s="303"/>
      <c r="P66" s="303"/>
      <c r="Q66" s="303"/>
      <c r="S66" s="3"/>
    </row>
    <row r="72" spans="1:22" ht="112.5" customHeight="1">
      <c r="A72" s="60" t="s">
        <v>113</v>
      </c>
      <c r="B72" s="4" t="s">
        <v>910</v>
      </c>
      <c r="C72" s="5" t="s">
        <v>911</v>
      </c>
      <c r="D72" s="4" t="s">
        <v>912</v>
      </c>
      <c r="E72" s="5" t="s">
        <v>913</v>
      </c>
      <c r="F72" s="4" t="s">
        <v>914</v>
      </c>
      <c r="G72" s="5" t="s">
        <v>915</v>
      </c>
      <c r="H72" s="4" t="s">
        <v>916</v>
      </c>
      <c r="I72" s="5" t="s">
        <v>917</v>
      </c>
      <c r="M72" s="60"/>
      <c r="N72" s="61" t="s">
        <v>918</v>
      </c>
      <c r="O72" s="4" t="s">
        <v>919</v>
      </c>
      <c r="P72" s="4" t="s">
        <v>920</v>
      </c>
      <c r="Q72" s="4" t="s">
        <v>921</v>
      </c>
      <c r="R72" s="4" t="s">
        <v>922</v>
      </c>
      <c r="S72" s="4" t="s">
        <v>923</v>
      </c>
      <c r="T72" s="62" t="s">
        <v>924</v>
      </c>
      <c r="U72" s="4" t="s">
        <v>925</v>
      </c>
      <c r="V72" s="4" t="s">
        <v>926</v>
      </c>
    </row>
    <row r="73" spans="1:22" ht="22.8">
      <c r="A73" s="6" t="s">
        <v>133</v>
      </c>
      <c r="B73" s="7">
        <v>632974.50693710253</v>
      </c>
      <c r="C73" s="14">
        <v>2</v>
      </c>
      <c r="D73" s="7">
        <v>641787.26659160317</v>
      </c>
      <c r="E73" s="14">
        <v>2</v>
      </c>
      <c r="F73" s="7">
        <v>650600.02624610369</v>
      </c>
      <c r="G73" s="14">
        <v>2</v>
      </c>
      <c r="H73" s="7">
        <v>659412.78590060433</v>
      </c>
      <c r="I73" s="14">
        <v>2</v>
      </c>
      <c r="L73" s="1">
        <v>1</v>
      </c>
      <c r="M73" s="64" t="s">
        <v>865</v>
      </c>
      <c r="N73" s="65" t="s">
        <v>866</v>
      </c>
      <c r="O73" s="16">
        <v>149000</v>
      </c>
      <c r="P73" s="17">
        <v>1</v>
      </c>
      <c r="Q73" s="34">
        <v>169000</v>
      </c>
      <c r="R73" s="17">
        <v>1</v>
      </c>
      <c r="S73" s="16">
        <v>180000</v>
      </c>
      <c r="T73" s="17">
        <v>1</v>
      </c>
      <c r="U73" s="16">
        <v>190000</v>
      </c>
      <c r="V73" s="17">
        <v>1</v>
      </c>
    </row>
    <row r="74" spans="1:22">
      <c r="A74" s="6" t="s">
        <v>295</v>
      </c>
      <c r="B74" s="7">
        <v>901330.80980955716</v>
      </c>
      <c r="C74" s="14">
        <v>2</v>
      </c>
      <c r="D74" s="7">
        <v>887225.43590253417</v>
      </c>
      <c r="E74" s="14">
        <v>2</v>
      </c>
      <c r="F74" s="7">
        <v>873120.06199551118</v>
      </c>
      <c r="G74" s="14">
        <v>2</v>
      </c>
      <c r="H74" s="7">
        <v>859014.6880884883</v>
      </c>
      <c r="I74" s="14">
        <v>2</v>
      </c>
      <c r="L74" s="33">
        <v>2</v>
      </c>
      <c r="M74" s="52" t="s">
        <v>867</v>
      </c>
      <c r="N74" s="32" t="s">
        <v>866</v>
      </c>
      <c r="O74" s="16">
        <v>13000000</v>
      </c>
      <c r="P74" s="17">
        <v>7</v>
      </c>
      <c r="Q74" s="34">
        <v>13000000</v>
      </c>
      <c r="R74" s="17">
        <v>7</v>
      </c>
      <c r="S74" s="34">
        <v>13000000</v>
      </c>
      <c r="T74" s="17">
        <v>7</v>
      </c>
      <c r="U74" s="34">
        <v>13000000</v>
      </c>
      <c r="V74" s="17">
        <v>7</v>
      </c>
    </row>
    <row r="75" spans="1:22">
      <c r="A75" s="6" t="s">
        <v>196</v>
      </c>
      <c r="B75" s="7">
        <v>1021561.4283556627</v>
      </c>
      <c r="C75" s="14">
        <v>3</v>
      </c>
      <c r="D75" s="7">
        <v>1437390.1486640135</v>
      </c>
      <c r="E75" s="14">
        <v>4</v>
      </c>
      <c r="F75" s="7">
        <v>1764954.1486640135</v>
      </c>
      <c r="G75" s="14">
        <v>4</v>
      </c>
      <c r="H75" s="7">
        <v>2078905.2304115121</v>
      </c>
      <c r="I75" s="14">
        <v>4</v>
      </c>
      <c r="L75" s="33">
        <v>3</v>
      </c>
      <c r="M75" s="52" t="s">
        <v>868</v>
      </c>
      <c r="N75" s="32" t="s">
        <v>866</v>
      </c>
      <c r="O75" s="16">
        <v>1076000</v>
      </c>
      <c r="P75" s="17">
        <v>0</v>
      </c>
      <c r="Q75" s="16">
        <v>1209000</v>
      </c>
      <c r="R75" s="17">
        <v>4</v>
      </c>
      <c r="S75" s="16">
        <v>1362000</v>
      </c>
      <c r="T75" s="17">
        <v>2</v>
      </c>
      <c r="U75" s="16">
        <v>1362000</v>
      </c>
      <c r="V75" s="17">
        <v>2</v>
      </c>
    </row>
    <row r="76" spans="1:22">
      <c r="A76" s="6" t="s">
        <v>290</v>
      </c>
      <c r="B76" s="15">
        <v>1072477.7569697117</v>
      </c>
      <c r="C76" s="18">
        <v>5</v>
      </c>
      <c r="D76" s="15">
        <v>1047154.1267173474</v>
      </c>
      <c r="E76" s="18">
        <v>5</v>
      </c>
      <c r="F76" s="15">
        <v>1021830.4964649832</v>
      </c>
      <c r="G76" s="18">
        <v>5</v>
      </c>
      <c r="H76" s="15">
        <v>996506.866212619</v>
      </c>
      <c r="I76" s="18">
        <v>5</v>
      </c>
      <c r="L76" s="33">
        <v>4</v>
      </c>
      <c r="M76" s="52" t="s">
        <v>870</v>
      </c>
      <c r="N76" s="32" t="s">
        <v>866</v>
      </c>
      <c r="O76" s="16">
        <v>4816000</v>
      </c>
      <c r="P76" s="17">
        <v>14</v>
      </c>
      <c r="Q76" s="16">
        <v>4929000</v>
      </c>
      <c r="R76" s="17">
        <v>15</v>
      </c>
      <c r="S76" s="16">
        <v>5042000</v>
      </c>
      <c r="T76" s="17">
        <v>16</v>
      </c>
      <c r="U76" s="16">
        <v>5098000</v>
      </c>
      <c r="V76" s="17">
        <v>17</v>
      </c>
    </row>
    <row r="77" spans="1:22" ht="22.8">
      <c r="A77" s="6" t="s">
        <v>341</v>
      </c>
      <c r="B77" s="7">
        <v>1105218.8895455869</v>
      </c>
      <c r="C77" s="18">
        <v>6</v>
      </c>
      <c r="D77" s="15">
        <v>1081366.5673271024</v>
      </c>
      <c r="E77" s="18">
        <v>5</v>
      </c>
      <c r="F77" s="15">
        <v>1057514.2451086179</v>
      </c>
      <c r="G77" s="18">
        <v>5</v>
      </c>
      <c r="H77" s="15">
        <v>1033661.9228901333</v>
      </c>
      <c r="I77" s="18">
        <v>5</v>
      </c>
      <c r="L77" s="33">
        <v>5</v>
      </c>
      <c r="M77" s="52" t="s">
        <v>871</v>
      </c>
      <c r="N77" s="32" t="s">
        <v>872</v>
      </c>
      <c r="O77" s="16">
        <v>20133000</v>
      </c>
      <c r="P77" s="17">
        <v>5</v>
      </c>
      <c r="Q77" s="16">
        <v>20188000</v>
      </c>
      <c r="R77" s="17">
        <v>5</v>
      </c>
      <c r="S77" s="16">
        <v>20209000</v>
      </c>
      <c r="T77" s="17">
        <v>5</v>
      </c>
      <c r="U77" s="16">
        <v>19546000</v>
      </c>
      <c r="V77" s="17">
        <v>5</v>
      </c>
    </row>
    <row r="78" spans="1:22">
      <c r="A78" s="6" t="s">
        <v>310</v>
      </c>
      <c r="B78" s="7">
        <v>1109414.6432198959</v>
      </c>
      <c r="C78" s="14">
        <v>4</v>
      </c>
      <c r="D78" s="7">
        <v>1071895.9525820548</v>
      </c>
      <c r="E78" s="14">
        <v>3</v>
      </c>
      <c r="F78" s="7">
        <v>1034377.2619442139</v>
      </c>
      <c r="G78" s="14">
        <v>2</v>
      </c>
      <c r="H78" s="7">
        <v>996858.57130637288</v>
      </c>
      <c r="I78" s="14">
        <v>2</v>
      </c>
      <c r="L78" s="1">
        <v>6</v>
      </c>
      <c r="M78" s="52" t="s">
        <v>873</v>
      </c>
      <c r="N78" s="32" t="s">
        <v>874</v>
      </c>
      <c r="O78" s="16">
        <v>48000000</v>
      </c>
      <c r="P78" s="36">
        <v>12</v>
      </c>
      <c r="Q78" s="16">
        <v>46500000</v>
      </c>
      <c r="R78" s="36">
        <v>12</v>
      </c>
      <c r="S78" s="16">
        <v>45000000</v>
      </c>
      <c r="T78" s="36">
        <v>11</v>
      </c>
      <c r="U78" s="16">
        <v>44000000</v>
      </c>
      <c r="V78" s="36">
        <f>U78/4000000</f>
        <v>11</v>
      </c>
    </row>
    <row r="79" spans="1:22" ht="22.8">
      <c r="A79" s="6" t="s">
        <v>319</v>
      </c>
      <c r="B79" s="7">
        <v>1238185.4386629204</v>
      </c>
      <c r="C79" s="14">
        <v>3</v>
      </c>
      <c r="D79" s="7">
        <v>1172119.6815778892</v>
      </c>
      <c r="E79" s="14">
        <v>3</v>
      </c>
      <c r="F79" s="7">
        <v>1106053.9244928584</v>
      </c>
      <c r="G79" s="14">
        <v>2</v>
      </c>
      <c r="H79" s="7">
        <v>1039988.1674078272</v>
      </c>
      <c r="I79" s="14">
        <v>2</v>
      </c>
      <c r="L79" s="33">
        <v>7</v>
      </c>
      <c r="M79" s="52" t="s">
        <v>875</v>
      </c>
      <c r="N79" s="32" t="s">
        <v>866</v>
      </c>
      <c r="O79" s="16">
        <v>6000000</v>
      </c>
      <c r="P79" s="17">
        <v>7</v>
      </c>
      <c r="Q79" s="16">
        <v>8000000</v>
      </c>
      <c r="R79" s="17">
        <v>8</v>
      </c>
      <c r="S79" s="16">
        <v>8500000</v>
      </c>
      <c r="T79" s="17">
        <v>9</v>
      </c>
      <c r="U79" s="16">
        <v>8500000</v>
      </c>
      <c r="V79" s="17">
        <v>9</v>
      </c>
    </row>
    <row r="80" spans="1:22" ht="22.8">
      <c r="A80" s="6" t="s">
        <v>137</v>
      </c>
      <c r="B80" s="7">
        <v>1331434.2268276687</v>
      </c>
      <c r="C80" s="27">
        <v>7</v>
      </c>
      <c r="D80" s="7">
        <v>1265433.4670986407</v>
      </c>
      <c r="E80" s="27">
        <v>7</v>
      </c>
      <c r="F80" s="7">
        <v>1199432.7073696125</v>
      </c>
      <c r="G80" s="27">
        <v>7</v>
      </c>
      <c r="H80" s="7">
        <v>1133431.9476405843</v>
      </c>
      <c r="I80" s="27">
        <v>7</v>
      </c>
      <c r="L80" s="33">
        <v>8</v>
      </c>
      <c r="M80" s="52" t="s">
        <v>887</v>
      </c>
      <c r="N80" s="32" t="s">
        <v>866</v>
      </c>
      <c r="O80" s="16">
        <v>885000</v>
      </c>
      <c r="P80" s="17">
        <v>0</v>
      </c>
      <c r="Q80" s="45">
        <v>1107000</v>
      </c>
      <c r="R80" s="46">
        <v>4</v>
      </c>
      <c r="S80" s="45">
        <v>1476000</v>
      </c>
      <c r="T80" s="46">
        <v>3</v>
      </c>
      <c r="U80" s="45">
        <v>1476000</v>
      </c>
      <c r="V80" s="46">
        <v>4</v>
      </c>
    </row>
    <row r="81" spans="1:22" ht="22.8">
      <c r="A81" s="6" t="s">
        <v>203</v>
      </c>
      <c r="B81" s="7">
        <v>1467743.6489280579</v>
      </c>
      <c r="C81" s="27">
        <v>6</v>
      </c>
      <c r="D81" s="7">
        <v>1394270.8980268526</v>
      </c>
      <c r="E81" s="27">
        <v>5</v>
      </c>
      <c r="F81" s="7">
        <v>1320798.1471256474</v>
      </c>
      <c r="G81" s="27">
        <v>6</v>
      </c>
      <c r="H81" s="7">
        <v>1247325.3962244419</v>
      </c>
      <c r="I81" s="27">
        <v>5</v>
      </c>
      <c r="L81" s="33">
        <v>8</v>
      </c>
      <c r="M81" s="52" t="s">
        <v>876</v>
      </c>
      <c r="N81" s="32" t="s">
        <v>866</v>
      </c>
      <c r="O81" s="16">
        <v>1765000</v>
      </c>
      <c r="P81" s="17">
        <v>6</v>
      </c>
      <c r="Q81" s="16">
        <v>2031000</v>
      </c>
      <c r="R81" s="17">
        <v>6</v>
      </c>
      <c r="S81" s="16">
        <v>2335000</v>
      </c>
      <c r="T81" s="17">
        <v>7</v>
      </c>
      <c r="U81" s="16">
        <v>2685000</v>
      </c>
      <c r="V81" s="17">
        <v>8</v>
      </c>
    </row>
    <row r="82" spans="1:22">
      <c r="A82" s="6" t="s">
        <v>273</v>
      </c>
      <c r="B82" s="21">
        <v>1501874.0340311597</v>
      </c>
      <c r="C82" s="26">
        <v>8</v>
      </c>
      <c r="D82" s="24">
        <v>1429127.8674483709</v>
      </c>
      <c r="E82" s="26">
        <v>8</v>
      </c>
      <c r="F82" s="24">
        <v>1356381.7008655821</v>
      </c>
      <c r="G82" s="26">
        <v>8</v>
      </c>
      <c r="H82" s="24">
        <v>1283635.5342827933</v>
      </c>
      <c r="I82" s="26">
        <v>7</v>
      </c>
      <c r="L82" s="33">
        <v>9</v>
      </c>
      <c r="M82" s="52" t="s">
        <v>877</v>
      </c>
      <c r="N82" s="32" t="s">
        <v>866</v>
      </c>
      <c r="O82" s="16">
        <v>7572000</v>
      </c>
      <c r="P82" s="17">
        <v>15</v>
      </c>
      <c r="Q82" s="16">
        <v>8709000</v>
      </c>
      <c r="R82" s="17">
        <v>16</v>
      </c>
      <c r="S82" s="16">
        <v>10015000</v>
      </c>
      <c r="T82" s="17">
        <v>17</v>
      </c>
      <c r="U82" s="16">
        <v>11518000</v>
      </c>
      <c r="V82" s="17">
        <v>18</v>
      </c>
    </row>
    <row r="83" spans="1:22" ht="22.8">
      <c r="A83" s="6" t="s">
        <v>122</v>
      </c>
      <c r="B83" s="7">
        <v>1575102.7118428377</v>
      </c>
      <c r="C83" s="27">
        <v>7</v>
      </c>
      <c r="D83" s="7">
        <v>1473346.0925127715</v>
      </c>
      <c r="E83" s="27">
        <v>9</v>
      </c>
      <c r="F83" s="7">
        <v>1371589.473182705</v>
      </c>
      <c r="G83" s="27">
        <v>5</v>
      </c>
      <c r="H83" s="7">
        <v>1269832.8538526385</v>
      </c>
      <c r="I83" s="27">
        <v>5</v>
      </c>
      <c r="L83" s="33">
        <v>10</v>
      </c>
      <c r="M83" s="52" t="s">
        <v>878</v>
      </c>
      <c r="N83" s="32" t="s">
        <v>879</v>
      </c>
      <c r="O83" s="37">
        <v>8000000</v>
      </c>
      <c r="P83" s="38">
        <v>12</v>
      </c>
      <c r="Q83" s="37">
        <v>8000000</v>
      </c>
      <c r="R83" s="38">
        <v>12</v>
      </c>
      <c r="S83" s="37">
        <v>8000000</v>
      </c>
      <c r="T83" s="38">
        <v>12</v>
      </c>
      <c r="U83" s="37">
        <v>8000000</v>
      </c>
      <c r="V83" s="38">
        <v>12</v>
      </c>
    </row>
    <row r="84" spans="1:22" ht="22.8">
      <c r="A84" s="6" t="s">
        <v>209</v>
      </c>
      <c r="B84" s="7">
        <v>1648363.8599772332</v>
      </c>
      <c r="C84" s="27">
        <v>10</v>
      </c>
      <c r="D84" s="7">
        <v>1582898.615151043</v>
      </c>
      <c r="E84" s="27">
        <v>9</v>
      </c>
      <c r="F84" s="7">
        <v>1517433.3703248533</v>
      </c>
      <c r="G84" s="27">
        <v>8</v>
      </c>
      <c r="H84" s="7">
        <v>1451968.1254986632</v>
      </c>
      <c r="I84" s="27">
        <v>7</v>
      </c>
      <c r="L84" s="33">
        <v>11</v>
      </c>
      <c r="M84" s="52" t="s">
        <v>880</v>
      </c>
      <c r="N84" s="32" t="s">
        <v>866</v>
      </c>
      <c r="O84" s="39">
        <v>5700000</v>
      </c>
      <c r="P84" s="40">
        <v>20</v>
      </c>
      <c r="Q84" s="39">
        <v>5723000</v>
      </c>
      <c r="R84" s="40">
        <v>20</v>
      </c>
      <c r="S84" s="39">
        <v>5739000</v>
      </c>
      <c r="T84" s="40">
        <v>20</v>
      </c>
      <c r="U84" s="39">
        <v>5759000</v>
      </c>
      <c r="V84" s="40">
        <v>20</v>
      </c>
    </row>
    <row r="85" spans="1:22" ht="22.8">
      <c r="A85" s="6" t="s">
        <v>321</v>
      </c>
      <c r="B85" s="7">
        <v>1668627.419760474</v>
      </c>
      <c r="C85" s="14">
        <v>5</v>
      </c>
      <c r="D85" s="7">
        <v>2166203.7470764159</v>
      </c>
      <c r="E85" s="14">
        <v>5</v>
      </c>
      <c r="F85" s="7">
        <v>2577035.7470764159</v>
      </c>
      <c r="G85" s="14">
        <v>6</v>
      </c>
      <c r="H85" s="7">
        <v>2932056.2501758635</v>
      </c>
      <c r="I85" s="14">
        <v>8</v>
      </c>
      <c r="L85" s="33">
        <v>12</v>
      </c>
      <c r="M85" s="52" t="s">
        <v>881</v>
      </c>
      <c r="N85" s="32" t="s">
        <v>866</v>
      </c>
      <c r="O85" s="16">
        <v>2617000</v>
      </c>
      <c r="P85" s="40">
        <v>7</v>
      </c>
      <c r="Q85" s="16">
        <v>2682000</v>
      </c>
      <c r="R85" s="40">
        <v>8</v>
      </c>
      <c r="S85" s="16">
        <v>2748000</v>
      </c>
      <c r="T85" s="40">
        <v>9</v>
      </c>
      <c r="U85" s="16">
        <v>2813000</v>
      </c>
      <c r="V85" s="40">
        <v>10</v>
      </c>
    </row>
    <row r="86" spans="1:22">
      <c r="A86" s="6" t="s">
        <v>267</v>
      </c>
      <c r="B86" s="7">
        <v>1720414.0598229966</v>
      </c>
      <c r="C86" s="27">
        <v>6</v>
      </c>
      <c r="D86" s="7">
        <v>1618887.5949036912</v>
      </c>
      <c r="E86" s="27">
        <v>5</v>
      </c>
      <c r="F86" s="7">
        <v>1517361.1299843858</v>
      </c>
      <c r="G86" s="27">
        <v>5</v>
      </c>
      <c r="H86" s="7">
        <v>1415834.6650650799</v>
      </c>
      <c r="I86" s="27">
        <v>5</v>
      </c>
      <c r="L86" s="33">
        <v>13</v>
      </c>
      <c r="M86" s="52" t="s">
        <v>882</v>
      </c>
      <c r="N86" s="32" t="s">
        <v>866</v>
      </c>
      <c r="O86" s="41">
        <v>5500000</v>
      </c>
      <c r="P86" s="42">
        <v>15</v>
      </c>
      <c r="Q86" s="41">
        <v>5749000</v>
      </c>
      <c r="R86" s="43">
        <v>15</v>
      </c>
      <c r="S86" s="41">
        <v>6000000</v>
      </c>
      <c r="T86" s="43">
        <v>16</v>
      </c>
      <c r="U86" s="41">
        <v>6249000</v>
      </c>
      <c r="V86" s="43">
        <v>17</v>
      </c>
    </row>
    <row r="87" spans="1:22" ht="22.8">
      <c r="A87" s="6" t="s">
        <v>126</v>
      </c>
      <c r="B87" s="21">
        <v>1789126.5182977882</v>
      </c>
      <c r="C87" s="28">
        <v>3</v>
      </c>
      <c r="D87" s="21">
        <v>1674933.3355707861</v>
      </c>
      <c r="E87" s="28">
        <v>3</v>
      </c>
      <c r="F87" s="21">
        <v>1560740.1528437841</v>
      </c>
      <c r="G87" s="28">
        <v>3</v>
      </c>
      <c r="H87" s="21">
        <v>1446546.970116782</v>
      </c>
      <c r="I87" s="28">
        <v>3</v>
      </c>
      <c r="L87" s="33">
        <v>14</v>
      </c>
      <c r="M87" s="52" t="s">
        <v>883</v>
      </c>
      <c r="N87" s="32" t="s">
        <v>866</v>
      </c>
      <c r="O87" s="16">
        <v>2000000</v>
      </c>
      <c r="P87" s="17">
        <v>10</v>
      </c>
      <c r="Q87" s="34">
        <v>2495000</v>
      </c>
      <c r="R87" s="17">
        <v>12</v>
      </c>
      <c r="S87" s="34">
        <v>3326000</v>
      </c>
      <c r="T87" s="17">
        <v>18</v>
      </c>
      <c r="U87" s="34">
        <v>3326000</v>
      </c>
      <c r="V87" s="17">
        <v>18</v>
      </c>
    </row>
    <row r="88" spans="1:22">
      <c r="A88" s="6" t="s">
        <v>299</v>
      </c>
      <c r="B88" s="7">
        <v>1895542.131841023</v>
      </c>
      <c r="C88" s="27">
        <v>8</v>
      </c>
      <c r="D88" s="7">
        <v>1795242.225500688</v>
      </c>
      <c r="E88" s="27">
        <v>8</v>
      </c>
      <c r="F88" s="7">
        <v>1694942.3191603525</v>
      </c>
      <c r="G88" s="27">
        <v>8</v>
      </c>
      <c r="H88" s="7">
        <v>1594642.412820017</v>
      </c>
      <c r="I88" s="27">
        <v>8</v>
      </c>
      <c r="L88" s="33">
        <v>15</v>
      </c>
      <c r="M88" s="52" t="s">
        <v>884</v>
      </c>
      <c r="N88" s="32" t="s">
        <v>866</v>
      </c>
      <c r="O88" s="16">
        <v>3041000</v>
      </c>
      <c r="P88" s="17">
        <v>7</v>
      </c>
      <c r="Q88" s="16">
        <v>3133000</v>
      </c>
      <c r="R88" s="17">
        <v>7</v>
      </c>
      <c r="S88" s="16">
        <v>3227000</v>
      </c>
      <c r="T88" s="17">
        <v>8</v>
      </c>
      <c r="U88" s="16">
        <v>3333000</v>
      </c>
      <c r="V88" s="17">
        <v>8</v>
      </c>
    </row>
    <row r="89" spans="1:22">
      <c r="A89" s="6" t="s">
        <v>351</v>
      </c>
      <c r="B89" s="7">
        <v>1963464.5944297928</v>
      </c>
      <c r="C89" s="14">
        <v>5</v>
      </c>
      <c r="D89" s="7">
        <v>1899404.3259672474</v>
      </c>
      <c r="E89" s="14">
        <v>5</v>
      </c>
      <c r="F89" s="7">
        <v>1835344.0575047019</v>
      </c>
      <c r="G89" s="14">
        <v>4</v>
      </c>
      <c r="H89" s="7">
        <v>1771283.7890421564</v>
      </c>
      <c r="I89" s="14">
        <v>3</v>
      </c>
      <c r="L89" s="33">
        <v>16</v>
      </c>
      <c r="M89" s="52" t="s">
        <v>885</v>
      </c>
      <c r="N89" s="32" t="s">
        <v>866</v>
      </c>
      <c r="O89" s="16">
        <v>3249000</v>
      </c>
      <c r="P89" s="17">
        <v>12</v>
      </c>
      <c r="Q89" s="34">
        <v>3500000</v>
      </c>
      <c r="R89" s="17">
        <v>12</v>
      </c>
      <c r="S89" s="34">
        <v>3749000</v>
      </c>
      <c r="T89" s="17">
        <v>12</v>
      </c>
      <c r="U89" s="34">
        <v>4000000</v>
      </c>
      <c r="V89" s="17">
        <v>12</v>
      </c>
    </row>
    <row r="90" spans="1:22" ht="22.8">
      <c r="A90" s="6" t="s">
        <v>245</v>
      </c>
      <c r="B90" s="20">
        <v>2119780.4781432552</v>
      </c>
      <c r="C90" s="30">
        <v>9</v>
      </c>
      <c r="D90" s="20">
        <v>2016866.3469043111</v>
      </c>
      <c r="E90" s="30">
        <v>9</v>
      </c>
      <c r="F90" s="20">
        <v>1913952.215665367</v>
      </c>
      <c r="G90" s="30">
        <v>8</v>
      </c>
      <c r="H90" s="20">
        <v>1811038.0844264226</v>
      </c>
      <c r="I90" s="25">
        <v>8</v>
      </c>
      <c r="L90" s="33">
        <v>17</v>
      </c>
      <c r="M90" s="52" t="s">
        <v>886</v>
      </c>
      <c r="N90" s="32" t="s">
        <v>866</v>
      </c>
      <c r="O90" s="16">
        <v>2700000</v>
      </c>
      <c r="P90" s="44">
        <v>5</v>
      </c>
      <c r="Q90" s="16">
        <v>3200000</v>
      </c>
      <c r="R90" s="44">
        <v>5</v>
      </c>
      <c r="S90" s="16">
        <v>3200000</v>
      </c>
      <c r="T90" s="44">
        <v>5</v>
      </c>
      <c r="U90" s="16">
        <v>3200000</v>
      </c>
      <c r="V90" s="44">
        <v>5</v>
      </c>
    </row>
    <row r="91" spans="1:22">
      <c r="A91" s="6" t="s">
        <v>224</v>
      </c>
      <c r="B91" s="19">
        <v>3209096.2202038644</v>
      </c>
      <c r="C91" s="29">
        <v>10</v>
      </c>
      <c r="D91" s="23">
        <v>2955995.6394462315</v>
      </c>
      <c r="E91" s="29">
        <v>9</v>
      </c>
      <c r="F91" s="23">
        <v>2702895.0586885982</v>
      </c>
      <c r="G91" s="29">
        <v>8</v>
      </c>
      <c r="H91" s="23">
        <v>2449794.4779309649</v>
      </c>
      <c r="I91" s="29">
        <v>7</v>
      </c>
      <c r="L91" s="33">
        <v>19</v>
      </c>
      <c r="M91" s="52" t="s">
        <v>888</v>
      </c>
      <c r="N91" s="32" t="s">
        <v>866</v>
      </c>
      <c r="O91" s="16">
        <v>6600000</v>
      </c>
      <c r="P91" s="17">
        <v>10</v>
      </c>
      <c r="Q91" s="16">
        <v>6800000</v>
      </c>
      <c r="R91" s="17">
        <v>10</v>
      </c>
      <c r="S91" s="34">
        <v>7000000</v>
      </c>
      <c r="T91" s="17">
        <v>11</v>
      </c>
      <c r="U91" s="34">
        <v>7000000</v>
      </c>
      <c r="V91" s="17">
        <v>11</v>
      </c>
    </row>
    <row r="92" spans="1:22" ht="22.8">
      <c r="A92" s="6" t="s">
        <v>155</v>
      </c>
      <c r="B92" s="7">
        <v>3904834.4021171229</v>
      </c>
      <c r="C92" s="14">
        <v>1</v>
      </c>
      <c r="D92" s="7">
        <v>3661156.1227095248</v>
      </c>
      <c r="E92" s="14">
        <v>1</v>
      </c>
      <c r="F92" s="7">
        <v>3417477.8433019272</v>
      </c>
      <c r="G92" s="14">
        <v>1</v>
      </c>
      <c r="H92" s="7">
        <v>3173799.5638943291</v>
      </c>
      <c r="I92" s="14">
        <v>1</v>
      </c>
      <c r="L92" s="33">
        <v>22</v>
      </c>
      <c r="M92" s="52" t="s">
        <v>900</v>
      </c>
      <c r="N92" s="32" t="s">
        <v>866</v>
      </c>
      <c r="O92" s="16">
        <v>1503000</v>
      </c>
      <c r="P92" s="17">
        <v>6</v>
      </c>
      <c r="Q92" s="47">
        <v>1533000</v>
      </c>
      <c r="R92" s="17">
        <v>6</v>
      </c>
      <c r="S92" s="47">
        <v>1563000</v>
      </c>
      <c r="T92" s="17">
        <v>6</v>
      </c>
      <c r="U92" s="47">
        <v>1594000</v>
      </c>
      <c r="V92" s="17">
        <v>6</v>
      </c>
    </row>
    <row r="93" spans="1:22" ht="22.8">
      <c r="A93" s="8" t="s">
        <v>852</v>
      </c>
      <c r="B93" s="7">
        <v>5092848.6789927501</v>
      </c>
      <c r="C93" s="27">
        <v>4</v>
      </c>
      <c r="D93" s="7">
        <v>4807933.6121084746</v>
      </c>
      <c r="E93" s="27">
        <v>3</v>
      </c>
      <c r="F93" s="7">
        <v>4523018.5452242</v>
      </c>
      <c r="G93" s="27">
        <v>4</v>
      </c>
      <c r="H93" s="7">
        <v>4238103.4783399254</v>
      </c>
      <c r="I93" s="27">
        <v>5</v>
      </c>
      <c r="L93" s="33">
        <v>2021</v>
      </c>
      <c r="M93" s="52" t="s">
        <v>889</v>
      </c>
      <c r="N93" s="32" t="s">
        <v>866</v>
      </c>
      <c r="O93" s="16">
        <v>3500000</v>
      </c>
      <c r="P93" s="44">
        <v>7</v>
      </c>
      <c r="Q93" s="16">
        <v>4200000</v>
      </c>
      <c r="R93" s="44">
        <v>7</v>
      </c>
      <c r="S93" s="16">
        <v>4200000</v>
      </c>
      <c r="T93" s="44">
        <v>7</v>
      </c>
      <c r="U93" s="16">
        <v>4200000</v>
      </c>
      <c r="V93" s="44">
        <v>7</v>
      </c>
    </row>
    <row r="94" spans="1:22">
      <c r="A94" s="8" t="s">
        <v>166</v>
      </c>
      <c r="B94" s="7">
        <v>11123359.072669338</v>
      </c>
      <c r="C94" s="18">
        <v>4</v>
      </c>
      <c r="D94" s="15">
        <v>10390919.381386973</v>
      </c>
      <c r="E94" s="18">
        <v>4</v>
      </c>
      <c r="F94" s="15">
        <v>9658479.6901046056</v>
      </c>
      <c r="G94" s="18">
        <v>4</v>
      </c>
      <c r="H94" s="15">
        <v>8926039.9988222402</v>
      </c>
      <c r="I94" s="18">
        <v>3</v>
      </c>
      <c r="L94" s="33"/>
      <c r="M94" s="63" t="s">
        <v>899</v>
      </c>
      <c r="N94" s="50"/>
      <c r="O94" s="16">
        <v>28000000</v>
      </c>
      <c r="P94" s="50">
        <v>118</v>
      </c>
      <c r="Q94" s="34">
        <v>28839000</v>
      </c>
      <c r="R94" s="50">
        <v>114</v>
      </c>
      <c r="S94" s="34">
        <v>29705000</v>
      </c>
      <c r="T94" s="50">
        <v>107</v>
      </c>
      <c r="U94" s="16">
        <v>30595000</v>
      </c>
      <c r="V94" s="50">
        <v>104</v>
      </c>
    </row>
    <row r="95" spans="1:22" ht="12">
      <c r="A95" s="9" t="s">
        <v>901</v>
      </c>
      <c r="B95" s="11">
        <v>49092775.531385802</v>
      </c>
      <c r="C95" s="31">
        <f>SUM(C94:C94)</f>
        <v>4</v>
      </c>
      <c r="D95" s="11">
        <v>46427195.988397218</v>
      </c>
      <c r="E95" s="22">
        <f>SUM(E94:E94)</f>
        <v>4</v>
      </c>
      <c r="F95" s="11">
        <v>43761616.445408635</v>
      </c>
      <c r="G95" s="22">
        <f>SUM(G94:G94)</f>
        <v>4</v>
      </c>
      <c r="H95" s="11">
        <v>41096036.902420066</v>
      </c>
      <c r="I95" s="22">
        <f>SUM(I94:I94)</f>
        <v>3</v>
      </c>
      <c r="O95" s="3"/>
    </row>
    <row r="96" spans="1:22">
      <c r="M96" s="52" t="s">
        <v>902</v>
      </c>
      <c r="N96" s="52"/>
      <c r="O96" s="52"/>
      <c r="P96" s="52"/>
      <c r="Q96" s="52"/>
      <c r="R96" s="52"/>
      <c r="S96" s="52"/>
      <c r="T96" s="52"/>
      <c r="U96" s="52"/>
      <c r="V96" s="52"/>
    </row>
    <row r="97" spans="1:22" ht="57">
      <c r="A97" s="303" t="s">
        <v>927</v>
      </c>
      <c r="B97" s="303"/>
      <c r="C97" s="303"/>
      <c r="D97" s="303"/>
      <c r="E97" s="303"/>
      <c r="F97" s="303"/>
      <c r="G97" s="303"/>
      <c r="H97" s="303"/>
      <c r="M97" s="52" t="s">
        <v>904</v>
      </c>
      <c r="N97" s="52"/>
      <c r="O97" s="52"/>
      <c r="P97" s="52"/>
      <c r="Q97" s="52"/>
      <c r="R97" s="52"/>
      <c r="S97" s="52"/>
      <c r="T97" s="52"/>
      <c r="U97" s="52"/>
      <c r="V97" s="52"/>
    </row>
    <row r="98" spans="1:22" ht="57">
      <c r="A98" s="303" t="s">
        <v>928</v>
      </c>
      <c r="B98" s="303"/>
      <c r="C98" s="303"/>
      <c r="D98" s="303"/>
      <c r="E98" s="303"/>
      <c r="F98" s="303"/>
      <c r="G98" s="303"/>
      <c r="H98" s="303"/>
      <c r="M98" s="52" t="s">
        <v>906</v>
      </c>
      <c r="N98" s="52"/>
      <c r="O98" s="52"/>
      <c r="P98" s="52"/>
      <c r="Q98" s="52"/>
      <c r="R98" s="52"/>
      <c r="S98" s="52"/>
      <c r="T98" s="52"/>
      <c r="U98" s="52"/>
      <c r="V98" s="52"/>
    </row>
    <row r="99" spans="1:22" ht="68.400000000000006">
      <c r="M99" s="52" t="s">
        <v>908</v>
      </c>
      <c r="N99" s="52"/>
      <c r="O99" s="52"/>
      <c r="P99" s="52"/>
      <c r="Q99" s="52"/>
      <c r="R99" s="52"/>
      <c r="S99" s="52"/>
      <c r="T99" s="52"/>
      <c r="U99" s="52"/>
      <c r="V99" s="52"/>
    </row>
    <row r="100" spans="1:22" ht="12">
      <c r="A100" s="304" t="s">
        <v>929</v>
      </c>
      <c r="B100" s="304"/>
      <c r="C100" s="304"/>
      <c r="D100" s="304"/>
    </row>
    <row r="101" spans="1:22">
      <c r="A101" s="6">
        <v>2020</v>
      </c>
      <c r="B101" s="302" t="s">
        <v>930</v>
      </c>
      <c r="C101" s="302"/>
      <c r="D101" s="302"/>
    </row>
    <row r="102" spans="1:22">
      <c r="A102" s="6">
        <v>2021</v>
      </c>
      <c r="B102" s="302" t="s">
        <v>931</v>
      </c>
      <c r="C102" s="302"/>
      <c r="D102" s="302"/>
    </row>
    <row r="103" spans="1:22">
      <c r="A103" s="6">
        <v>2022</v>
      </c>
      <c r="B103" s="302" t="s">
        <v>932</v>
      </c>
      <c r="C103" s="302"/>
      <c r="D103" s="302"/>
    </row>
    <row r="104" spans="1:22">
      <c r="A104" s="6">
        <v>2023</v>
      </c>
      <c r="B104" s="302" t="s">
        <v>933</v>
      </c>
      <c r="C104" s="302"/>
      <c r="D104" s="302"/>
    </row>
    <row r="110" spans="1:22">
      <c r="A110" s="189"/>
      <c r="B110" s="189" t="s">
        <v>934</v>
      </c>
      <c r="C110" s="189"/>
      <c r="D110" s="189"/>
      <c r="E110" s="189"/>
      <c r="F110" s="189"/>
      <c r="G110" s="189"/>
      <c r="H110" s="189"/>
    </row>
    <row r="111" spans="1:22">
      <c r="A111" s="189" t="s">
        <v>935</v>
      </c>
      <c r="B111" s="189" t="s">
        <v>936</v>
      </c>
      <c r="C111" s="189" t="s">
        <v>937</v>
      </c>
      <c r="D111" s="189" t="s">
        <v>938</v>
      </c>
      <c r="E111" s="189" t="s">
        <v>939</v>
      </c>
      <c r="F111" s="189" t="s">
        <v>940</v>
      </c>
      <c r="G111" s="189" t="s">
        <v>941</v>
      </c>
      <c r="H111" s="189" t="s">
        <v>942</v>
      </c>
    </row>
    <row r="112" spans="1:22" ht="12">
      <c r="A112" s="189"/>
      <c r="B112" s="189"/>
      <c r="C112" s="189"/>
      <c r="D112" s="189"/>
      <c r="E112" s="189"/>
      <c r="F112" s="189"/>
      <c r="G112" s="189"/>
      <c r="H112" s="195"/>
      <c r="I112" s="200" t="s">
        <v>943</v>
      </c>
      <c r="J112" s="200" t="s">
        <v>43</v>
      </c>
      <c r="K112" s="200" t="s">
        <v>944</v>
      </c>
    </row>
    <row r="113" spans="1:11" ht="14.4">
      <c r="A113" s="189" t="s">
        <v>290</v>
      </c>
      <c r="B113" s="189">
        <v>222</v>
      </c>
      <c r="C113" s="190">
        <v>865521.44</v>
      </c>
      <c r="D113" s="190">
        <v>865521.44</v>
      </c>
      <c r="E113" s="189">
        <v>4</v>
      </c>
      <c r="F113" s="189" t="s">
        <v>945</v>
      </c>
      <c r="G113" s="189">
        <v>1</v>
      </c>
      <c r="H113" s="196">
        <v>94564.59</v>
      </c>
      <c r="I113" s="197" t="s">
        <v>122</v>
      </c>
      <c r="J113" s="192">
        <v>1</v>
      </c>
      <c r="K113" s="198">
        <f t="shared" ref="K113:K133" si="13">SUMIF($A$113:$A$153,I113,$C$113:$C$153)</f>
        <v>868567.87</v>
      </c>
    </row>
    <row r="114" spans="1:11" ht="14.4">
      <c r="A114" s="191" t="s">
        <v>290</v>
      </c>
      <c r="B114" s="189">
        <v>174</v>
      </c>
      <c r="C114" s="190">
        <v>2069278.34</v>
      </c>
      <c r="D114" s="190">
        <v>401112.1</v>
      </c>
      <c r="E114" s="189">
        <v>2</v>
      </c>
      <c r="F114" s="189" t="s">
        <v>946</v>
      </c>
      <c r="G114" s="189">
        <v>1</v>
      </c>
      <c r="H114" s="196">
        <v>1868722.29</v>
      </c>
      <c r="I114" s="199" t="s">
        <v>126</v>
      </c>
      <c r="J114" s="193">
        <v>2</v>
      </c>
      <c r="K114" s="198">
        <f t="shared" si="13"/>
        <v>68967991.579999998</v>
      </c>
    </row>
    <row r="115" spans="1:11" ht="14.4">
      <c r="A115" s="189" t="s">
        <v>351</v>
      </c>
      <c r="B115" s="189">
        <v>222</v>
      </c>
      <c r="C115" s="190">
        <v>1372432.88</v>
      </c>
      <c r="D115" s="190">
        <v>1310811.43</v>
      </c>
      <c r="E115" s="189">
        <v>4</v>
      </c>
      <c r="F115" s="189" t="s">
        <v>947</v>
      </c>
      <c r="G115" s="189">
        <v>2</v>
      </c>
      <c r="H115" s="196">
        <v>324864.36</v>
      </c>
      <c r="I115" s="197" t="s">
        <v>133</v>
      </c>
      <c r="J115" s="192">
        <v>3</v>
      </c>
      <c r="K115" s="198">
        <f t="shared" si="13"/>
        <v>761769.24</v>
      </c>
    </row>
    <row r="116" spans="1:11" ht="14.4">
      <c r="A116" s="191" t="s">
        <v>351</v>
      </c>
      <c r="B116" s="189">
        <v>221</v>
      </c>
      <c r="C116" s="190">
        <v>2838130.36</v>
      </c>
      <c r="D116" s="190">
        <v>2696223.85</v>
      </c>
      <c r="E116" s="189">
        <v>5</v>
      </c>
      <c r="F116" s="189" t="s">
        <v>948</v>
      </c>
      <c r="G116" s="189">
        <v>0</v>
      </c>
      <c r="H116" s="196">
        <v>141906.51</v>
      </c>
      <c r="I116" s="199" t="s">
        <v>137</v>
      </c>
      <c r="J116" s="193">
        <v>4</v>
      </c>
      <c r="K116" s="198">
        <f t="shared" si="13"/>
        <v>5430782.0800000001</v>
      </c>
    </row>
    <row r="117" spans="1:11" ht="14.4">
      <c r="A117" s="189" t="s">
        <v>166</v>
      </c>
      <c r="B117" s="189">
        <v>222</v>
      </c>
      <c r="C117" s="190">
        <v>4457696.78</v>
      </c>
      <c r="D117" s="190">
        <v>4347181.18</v>
      </c>
      <c r="E117" s="189">
        <v>1</v>
      </c>
      <c r="F117" s="189" t="s">
        <v>948</v>
      </c>
      <c r="G117" s="189">
        <v>0</v>
      </c>
      <c r="H117" s="196">
        <v>110515.6</v>
      </c>
      <c r="I117" s="197" t="s">
        <v>155</v>
      </c>
      <c r="J117" s="192">
        <v>5</v>
      </c>
      <c r="K117" s="198">
        <f t="shared" si="13"/>
        <v>29070596.109999999</v>
      </c>
    </row>
    <row r="118" spans="1:11" ht="14.4">
      <c r="A118" s="191" t="s">
        <v>166</v>
      </c>
      <c r="B118" s="189">
        <v>91</v>
      </c>
      <c r="C118" s="190">
        <v>135739466.28999999</v>
      </c>
      <c r="D118" s="190">
        <v>86804506.760000005</v>
      </c>
      <c r="E118" s="189">
        <v>28</v>
      </c>
      <c r="F118" s="189" t="s">
        <v>949</v>
      </c>
      <c r="G118" s="189">
        <v>2</v>
      </c>
      <c r="H118" s="196">
        <v>52502486.640000001</v>
      </c>
      <c r="I118" s="199" t="s">
        <v>166</v>
      </c>
      <c r="J118" s="193">
        <v>6</v>
      </c>
      <c r="K118" s="198">
        <f t="shared" si="13"/>
        <v>140197163.06999999</v>
      </c>
    </row>
    <row r="119" spans="1:11" ht="14.4">
      <c r="A119" s="189" t="s">
        <v>267</v>
      </c>
      <c r="B119" s="189">
        <v>222</v>
      </c>
      <c r="C119" s="190">
        <v>593377.88</v>
      </c>
      <c r="D119" s="190">
        <v>593377.88</v>
      </c>
      <c r="E119" s="189">
        <v>2</v>
      </c>
      <c r="F119" s="189" t="s">
        <v>948</v>
      </c>
      <c r="G119" s="189">
        <v>0</v>
      </c>
      <c r="H119" s="196">
        <v>0</v>
      </c>
      <c r="I119" s="197" t="s">
        <v>196</v>
      </c>
      <c r="J119" s="192">
        <v>7</v>
      </c>
      <c r="K119" s="198">
        <f t="shared" si="13"/>
        <v>14092055.85</v>
      </c>
    </row>
    <row r="120" spans="1:11" ht="14.4">
      <c r="A120" s="191" t="s">
        <v>267</v>
      </c>
      <c r="B120" s="189">
        <v>7</v>
      </c>
      <c r="C120" s="190">
        <v>1237601.78</v>
      </c>
      <c r="D120" s="190">
        <v>1139016.8</v>
      </c>
      <c r="E120" s="189">
        <v>3</v>
      </c>
      <c r="F120" s="189" t="s">
        <v>948</v>
      </c>
      <c r="G120" s="189">
        <v>0</v>
      </c>
      <c r="H120" s="196">
        <v>98584.98</v>
      </c>
      <c r="I120" s="199" t="s">
        <v>203</v>
      </c>
      <c r="J120" s="193">
        <v>8</v>
      </c>
      <c r="K120" s="198">
        <f t="shared" si="13"/>
        <v>2545553.8899999997</v>
      </c>
    </row>
    <row r="121" spans="1:11" ht="14.4">
      <c r="A121" s="189" t="s">
        <v>196</v>
      </c>
      <c r="B121" s="189">
        <v>222</v>
      </c>
      <c r="C121" s="190">
        <v>678646.35</v>
      </c>
      <c r="D121" s="190">
        <v>649681.76</v>
      </c>
      <c r="E121" s="189">
        <v>3</v>
      </c>
      <c r="F121" s="189" t="s">
        <v>950</v>
      </c>
      <c r="G121" s="189">
        <v>2</v>
      </c>
      <c r="H121" s="196">
        <v>300480.84000000003</v>
      </c>
      <c r="I121" s="197" t="s">
        <v>209</v>
      </c>
      <c r="J121" s="192">
        <v>9</v>
      </c>
      <c r="K121" s="198">
        <f t="shared" si="13"/>
        <v>7296503.4900000002</v>
      </c>
    </row>
    <row r="122" spans="1:11" ht="14.4">
      <c r="A122" s="191" t="s">
        <v>196</v>
      </c>
      <c r="B122" s="189">
        <v>371</v>
      </c>
      <c r="C122" s="190">
        <v>13413409.5</v>
      </c>
      <c r="D122" s="190">
        <v>5116923.8899999997</v>
      </c>
      <c r="E122" s="189">
        <v>5</v>
      </c>
      <c r="F122" s="189" t="s">
        <v>948</v>
      </c>
      <c r="G122" s="189">
        <v>0</v>
      </c>
      <c r="H122" s="196">
        <v>8296485.6100000003</v>
      </c>
      <c r="I122" s="199" t="s">
        <v>224</v>
      </c>
      <c r="J122" s="193">
        <v>10</v>
      </c>
      <c r="K122" s="198">
        <f t="shared" si="13"/>
        <v>21457962.960000001</v>
      </c>
    </row>
    <row r="123" spans="1:11" ht="14.4">
      <c r="A123" s="189" t="s">
        <v>321</v>
      </c>
      <c r="B123" s="189">
        <v>222</v>
      </c>
      <c r="C123" s="190">
        <v>830307.75</v>
      </c>
      <c r="D123" s="190">
        <v>1586803.07</v>
      </c>
      <c r="E123" s="189">
        <v>6</v>
      </c>
      <c r="F123" s="189" t="s">
        <v>951</v>
      </c>
      <c r="G123" s="189">
        <v>2</v>
      </c>
      <c r="H123" s="196">
        <v>0</v>
      </c>
      <c r="I123" s="197" t="s">
        <v>245</v>
      </c>
      <c r="J123" s="192">
        <v>11</v>
      </c>
      <c r="K123" s="198">
        <f t="shared" si="13"/>
        <v>7305259.2000000002</v>
      </c>
    </row>
    <row r="124" spans="1:11" ht="14.4">
      <c r="A124" s="191" t="s">
        <v>321</v>
      </c>
      <c r="B124" s="189">
        <v>179</v>
      </c>
      <c r="C124" s="190">
        <v>6096181.1299999999</v>
      </c>
      <c r="D124" s="190">
        <v>7338608.3799999999</v>
      </c>
      <c r="E124" s="189">
        <v>18</v>
      </c>
      <c r="F124" s="189" t="s">
        <v>952</v>
      </c>
      <c r="G124" s="189">
        <v>3</v>
      </c>
      <c r="H124" s="196">
        <v>35657.29</v>
      </c>
      <c r="I124" s="199" t="s">
        <v>267</v>
      </c>
      <c r="J124" s="193">
        <v>12</v>
      </c>
      <c r="K124" s="198">
        <f t="shared" si="13"/>
        <v>1830979.6600000001</v>
      </c>
    </row>
    <row r="125" spans="1:11" ht="14.4">
      <c r="A125" s="189" t="s">
        <v>852</v>
      </c>
      <c r="B125" s="189">
        <v>222</v>
      </c>
      <c r="C125" s="190">
        <v>2194137.2999999998</v>
      </c>
      <c r="D125" s="189" t="s">
        <v>948</v>
      </c>
      <c r="E125" s="189">
        <v>0</v>
      </c>
      <c r="F125" s="189" t="s">
        <v>948</v>
      </c>
      <c r="G125" s="189">
        <v>0</v>
      </c>
      <c r="H125" s="196">
        <v>2194137.2999999998</v>
      </c>
      <c r="I125" s="197" t="s">
        <v>273</v>
      </c>
      <c r="J125" s="192">
        <v>13</v>
      </c>
      <c r="K125" s="198">
        <f t="shared" si="13"/>
        <v>7540433.8799999999</v>
      </c>
    </row>
    <row r="126" spans="1:11" ht="14.4">
      <c r="A126" s="189" t="s">
        <v>133</v>
      </c>
      <c r="B126" s="189">
        <v>222</v>
      </c>
      <c r="C126" s="190">
        <v>761769.24</v>
      </c>
      <c r="D126" s="189" t="s">
        <v>948</v>
      </c>
      <c r="E126" s="189">
        <v>0</v>
      </c>
      <c r="F126" s="189" t="s">
        <v>948</v>
      </c>
      <c r="G126" s="189">
        <v>0</v>
      </c>
      <c r="H126" s="196">
        <v>761769.24</v>
      </c>
      <c r="I126" s="199" t="s">
        <v>290</v>
      </c>
      <c r="J126" s="193">
        <v>14</v>
      </c>
      <c r="K126" s="198">
        <f t="shared" si="13"/>
        <v>2934799.7800000003</v>
      </c>
    </row>
    <row r="127" spans="1:11" ht="14.4">
      <c r="A127" s="189" t="s">
        <v>209</v>
      </c>
      <c r="B127" s="189">
        <v>222</v>
      </c>
      <c r="C127" s="190">
        <v>954371.06</v>
      </c>
      <c r="D127" s="190">
        <v>954330.38</v>
      </c>
      <c r="E127" s="189">
        <v>3</v>
      </c>
      <c r="F127" s="189" t="s">
        <v>948</v>
      </c>
      <c r="G127" s="189">
        <v>0</v>
      </c>
      <c r="H127" s="196">
        <v>40.68</v>
      </c>
      <c r="I127" s="197" t="s">
        <v>295</v>
      </c>
      <c r="J127" s="192">
        <v>15</v>
      </c>
      <c r="K127" s="198">
        <f t="shared" si="13"/>
        <v>7413007.4199999999</v>
      </c>
    </row>
    <row r="128" spans="1:11" ht="14.4">
      <c r="A128" s="191" t="s">
        <v>209</v>
      </c>
      <c r="B128" s="189">
        <v>203</v>
      </c>
      <c r="C128" s="190">
        <v>6342132.4299999997</v>
      </c>
      <c r="D128" s="190">
        <v>4143247.91</v>
      </c>
      <c r="E128" s="189">
        <v>11</v>
      </c>
      <c r="F128" s="189" t="s">
        <v>948</v>
      </c>
      <c r="G128" s="189">
        <v>0</v>
      </c>
      <c r="H128" s="196">
        <v>2198884.52</v>
      </c>
      <c r="I128" s="199" t="s">
        <v>299</v>
      </c>
      <c r="J128" s="193">
        <v>16</v>
      </c>
      <c r="K128" s="198">
        <f t="shared" si="13"/>
        <v>3993084.2399999998</v>
      </c>
    </row>
    <row r="129" spans="1:11" ht="14.4">
      <c r="A129" s="189" t="s">
        <v>310</v>
      </c>
      <c r="B129" s="189">
        <v>222</v>
      </c>
      <c r="C129" s="190">
        <v>707462.33</v>
      </c>
      <c r="D129" s="190">
        <v>671223.17</v>
      </c>
      <c r="E129" s="189">
        <v>3</v>
      </c>
      <c r="F129" s="189" t="s">
        <v>953</v>
      </c>
      <c r="G129" s="189">
        <v>2</v>
      </c>
      <c r="H129" s="196">
        <v>312298.21999999997</v>
      </c>
      <c r="I129" s="197" t="s">
        <v>310</v>
      </c>
      <c r="J129" s="192">
        <v>17</v>
      </c>
      <c r="K129" s="198">
        <f t="shared" si="13"/>
        <v>3338764.25</v>
      </c>
    </row>
    <row r="130" spans="1:11" ht="14.4">
      <c r="A130" s="191" t="s">
        <v>310</v>
      </c>
      <c r="B130" s="189">
        <v>212</v>
      </c>
      <c r="C130" s="190">
        <v>2631301.92</v>
      </c>
      <c r="D130" s="190">
        <v>2197325.58</v>
      </c>
      <c r="E130" s="189">
        <v>7</v>
      </c>
      <c r="F130" s="189" t="s">
        <v>948</v>
      </c>
      <c r="G130" s="189">
        <v>0</v>
      </c>
      <c r="H130" s="196">
        <v>433976.34</v>
      </c>
      <c r="I130" s="199" t="s">
        <v>319</v>
      </c>
      <c r="J130" s="193">
        <v>18</v>
      </c>
      <c r="K130" s="198">
        <f t="shared" si="13"/>
        <v>616113.75</v>
      </c>
    </row>
    <row r="131" spans="1:11" ht="14.4">
      <c r="A131" s="189" t="s">
        <v>137</v>
      </c>
      <c r="B131" s="189">
        <v>222</v>
      </c>
      <c r="C131" s="190">
        <v>824618.25</v>
      </c>
      <c r="D131" s="190">
        <v>823938.28</v>
      </c>
      <c r="E131" s="189">
        <v>3</v>
      </c>
      <c r="F131" s="189" t="s">
        <v>954</v>
      </c>
      <c r="G131" s="189">
        <v>1</v>
      </c>
      <c r="H131" s="196">
        <v>150395.4</v>
      </c>
      <c r="I131" s="197" t="s">
        <v>321</v>
      </c>
      <c r="J131" s="192">
        <v>19</v>
      </c>
      <c r="K131" s="198">
        <f t="shared" si="13"/>
        <v>6926488.8799999999</v>
      </c>
    </row>
    <row r="132" spans="1:11" ht="14.4">
      <c r="A132" s="191" t="s">
        <v>137</v>
      </c>
      <c r="B132" s="189">
        <v>279</v>
      </c>
      <c r="C132" s="190">
        <v>4606163.83</v>
      </c>
      <c r="D132" s="190">
        <v>4534018.28</v>
      </c>
      <c r="E132" s="189">
        <v>14</v>
      </c>
      <c r="F132" s="189" t="s">
        <v>955</v>
      </c>
      <c r="G132" s="189">
        <v>1</v>
      </c>
      <c r="H132" s="196">
        <v>172620.19</v>
      </c>
      <c r="I132" s="199" t="s">
        <v>341</v>
      </c>
      <c r="J132" s="193">
        <v>22</v>
      </c>
      <c r="K132" s="198">
        <f t="shared" si="13"/>
        <v>3204110.6799999997</v>
      </c>
    </row>
    <row r="133" spans="1:11" ht="14.4">
      <c r="A133" s="189" t="s">
        <v>155</v>
      </c>
      <c r="B133" s="189">
        <v>222</v>
      </c>
      <c r="C133" s="190">
        <v>1380122.45</v>
      </c>
      <c r="D133" s="190">
        <v>1360122.45</v>
      </c>
      <c r="E133" s="189">
        <v>1</v>
      </c>
      <c r="F133" s="189" t="s">
        <v>948</v>
      </c>
      <c r="G133" s="189">
        <v>0</v>
      </c>
      <c r="H133" s="196">
        <v>20000</v>
      </c>
      <c r="I133" s="197" t="s">
        <v>351</v>
      </c>
      <c r="J133" s="192">
        <v>2021</v>
      </c>
      <c r="K133" s="198">
        <f t="shared" si="13"/>
        <v>4210563.24</v>
      </c>
    </row>
    <row r="134" spans="1:11">
      <c r="A134" s="191" t="s">
        <v>155</v>
      </c>
      <c r="B134" s="189">
        <v>111</v>
      </c>
      <c r="C134" s="190">
        <v>27690473.66</v>
      </c>
      <c r="D134" s="190">
        <v>27690473.66</v>
      </c>
      <c r="E134" s="189">
        <v>9</v>
      </c>
      <c r="F134" s="189" t="s">
        <v>948</v>
      </c>
      <c r="G134" s="189">
        <v>0</v>
      </c>
      <c r="H134" s="194">
        <v>0</v>
      </c>
      <c r="J134" s="2"/>
    </row>
    <row r="135" spans="1:11">
      <c r="A135" s="189" t="s">
        <v>341</v>
      </c>
      <c r="B135" s="189">
        <v>222</v>
      </c>
      <c r="C135" s="190">
        <v>797485.55</v>
      </c>
      <c r="D135" s="190">
        <v>560000</v>
      </c>
      <c r="E135" s="189">
        <v>3</v>
      </c>
      <c r="F135" s="189" t="s">
        <v>956</v>
      </c>
      <c r="G135" s="189">
        <v>2</v>
      </c>
      <c r="H135" s="194">
        <v>397485.55</v>
      </c>
      <c r="J135" s="2"/>
    </row>
    <row r="136" spans="1:11">
      <c r="A136" s="191" t="s">
        <v>341</v>
      </c>
      <c r="B136" s="189">
        <v>205</v>
      </c>
      <c r="C136" s="190">
        <v>2406625.13</v>
      </c>
      <c r="D136" s="190">
        <v>2138410.4</v>
      </c>
      <c r="E136" s="189">
        <v>10</v>
      </c>
      <c r="F136" s="189" t="s">
        <v>957</v>
      </c>
      <c r="G136" s="189">
        <v>5</v>
      </c>
      <c r="H136" s="194">
        <v>691612.78</v>
      </c>
      <c r="J136" s="2"/>
    </row>
    <row r="137" spans="1:11">
      <c r="A137" s="189" t="s">
        <v>126</v>
      </c>
      <c r="B137" s="189">
        <v>222</v>
      </c>
      <c r="C137" s="190">
        <v>682701.12</v>
      </c>
      <c r="D137" s="189" t="s">
        <v>948</v>
      </c>
      <c r="E137" s="189">
        <v>0</v>
      </c>
      <c r="F137" s="189" t="s">
        <v>948</v>
      </c>
      <c r="G137" s="189">
        <v>0</v>
      </c>
      <c r="H137" s="194">
        <v>682701.12</v>
      </c>
      <c r="J137" s="2"/>
    </row>
    <row r="138" spans="1:11">
      <c r="A138" s="191" t="s">
        <v>126</v>
      </c>
      <c r="B138" s="189">
        <v>5</v>
      </c>
      <c r="C138" s="190">
        <v>68285290.459999993</v>
      </c>
      <c r="D138" s="190">
        <v>4107678.45</v>
      </c>
      <c r="E138" s="189">
        <v>6</v>
      </c>
      <c r="F138" s="189" t="s">
        <v>948</v>
      </c>
      <c r="G138" s="189">
        <v>0</v>
      </c>
      <c r="H138" s="194">
        <v>64177612.009999998</v>
      </c>
      <c r="J138" s="2"/>
    </row>
    <row r="139" spans="1:11">
      <c r="A139" s="189" t="s">
        <v>245</v>
      </c>
      <c r="B139" s="189">
        <v>222</v>
      </c>
      <c r="C139" s="190">
        <v>1130753.78</v>
      </c>
      <c r="D139" s="190">
        <v>1086318</v>
      </c>
      <c r="E139" s="189">
        <v>4</v>
      </c>
      <c r="F139" s="189" t="s">
        <v>948</v>
      </c>
      <c r="G139" s="189">
        <v>0</v>
      </c>
      <c r="H139" s="194">
        <v>44435.78</v>
      </c>
      <c r="J139" s="2"/>
    </row>
    <row r="140" spans="1:11">
      <c r="A140" s="191" t="s">
        <v>245</v>
      </c>
      <c r="B140" s="189" t="s">
        <v>958</v>
      </c>
      <c r="C140" s="190">
        <v>6174505.4199999999</v>
      </c>
      <c r="D140" s="190">
        <v>6093626.9400000004</v>
      </c>
      <c r="E140" s="189">
        <v>17</v>
      </c>
      <c r="F140" s="189" t="s">
        <v>959</v>
      </c>
      <c r="G140" s="189">
        <v>4</v>
      </c>
      <c r="H140" s="194">
        <v>1142650.8999999999</v>
      </c>
      <c r="J140" s="2"/>
    </row>
    <row r="141" spans="1:11">
      <c r="A141" s="189" t="s">
        <v>319</v>
      </c>
      <c r="B141" s="189">
        <v>222</v>
      </c>
      <c r="C141" s="190">
        <v>616113.75</v>
      </c>
      <c r="D141" s="190">
        <v>224699.13</v>
      </c>
      <c r="E141" s="189">
        <v>1</v>
      </c>
      <c r="F141" s="189" t="s">
        <v>948</v>
      </c>
      <c r="G141" s="189">
        <v>0</v>
      </c>
      <c r="H141" s="194">
        <v>391414.62</v>
      </c>
      <c r="J141" s="2"/>
    </row>
    <row r="142" spans="1:11">
      <c r="A142" s="189" t="s">
        <v>122</v>
      </c>
      <c r="B142" s="189">
        <v>222</v>
      </c>
      <c r="C142" s="190">
        <v>547353.59999999998</v>
      </c>
      <c r="D142" s="190">
        <v>453155.09</v>
      </c>
      <c r="E142" s="189">
        <v>2</v>
      </c>
      <c r="F142" s="189" t="s">
        <v>948</v>
      </c>
      <c r="G142" s="189">
        <v>0</v>
      </c>
      <c r="H142" s="194">
        <v>94198.51</v>
      </c>
      <c r="J142" s="2"/>
    </row>
    <row r="143" spans="1:11">
      <c r="A143" s="191" t="s">
        <v>122</v>
      </c>
      <c r="B143" s="189">
        <v>3</v>
      </c>
      <c r="C143" s="190">
        <v>321214.27</v>
      </c>
      <c r="D143" s="189" t="s">
        <v>948</v>
      </c>
      <c r="E143" s="189">
        <v>0</v>
      </c>
      <c r="F143" s="189" t="s">
        <v>948</v>
      </c>
      <c r="G143" s="189">
        <v>0</v>
      </c>
      <c r="H143" s="194">
        <v>321214.27</v>
      </c>
      <c r="J143" s="2"/>
    </row>
    <row r="144" spans="1:11">
      <c r="A144" s="189" t="s">
        <v>203</v>
      </c>
      <c r="B144" s="189">
        <v>222</v>
      </c>
      <c r="C144" s="190">
        <v>741455.99</v>
      </c>
      <c r="D144" s="190">
        <v>700000</v>
      </c>
      <c r="E144" s="189">
        <v>2</v>
      </c>
      <c r="F144" s="189" t="s">
        <v>948</v>
      </c>
      <c r="G144" s="189">
        <v>0</v>
      </c>
      <c r="H144" s="194">
        <v>41455.99</v>
      </c>
      <c r="J144" s="2"/>
    </row>
    <row r="145" spans="1:10">
      <c r="A145" s="191" t="s">
        <v>203</v>
      </c>
      <c r="B145" s="189">
        <v>295</v>
      </c>
      <c r="C145" s="190">
        <v>1804097.9</v>
      </c>
      <c r="D145" s="190">
        <v>1657431.01</v>
      </c>
      <c r="E145" s="189">
        <v>5</v>
      </c>
      <c r="F145" s="189" t="s">
        <v>960</v>
      </c>
      <c r="G145" s="189">
        <v>2</v>
      </c>
      <c r="H145" s="194">
        <v>384762.89</v>
      </c>
      <c r="J145" s="2"/>
    </row>
    <row r="146" spans="1:10">
      <c r="A146" s="189" t="s">
        <v>224</v>
      </c>
      <c r="B146" s="189">
        <v>222</v>
      </c>
      <c r="C146" s="190">
        <v>680673.73</v>
      </c>
      <c r="D146" s="189" t="s">
        <v>948</v>
      </c>
      <c r="E146" s="189">
        <v>0</v>
      </c>
      <c r="F146" s="189" t="s">
        <v>948</v>
      </c>
      <c r="G146" s="189">
        <v>0</v>
      </c>
      <c r="H146" s="194">
        <v>680673.73</v>
      </c>
      <c r="J146" s="2"/>
    </row>
    <row r="147" spans="1:10">
      <c r="A147" s="191" t="s">
        <v>224</v>
      </c>
      <c r="B147" s="189">
        <v>412</v>
      </c>
      <c r="C147" s="190">
        <v>20777289.23</v>
      </c>
      <c r="D147" s="190">
        <v>20757223.559999999</v>
      </c>
      <c r="E147" s="189">
        <v>20</v>
      </c>
      <c r="F147" s="189" t="s">
        <v>948</v>
      </c>
      <c r="G147" s="189">
        <v>0</v>
      </c>
      <c r="H147" s="194">
        <v>20065.669999999998</v>
      </c>
      <c r="J147" s="2"/>
    </row>
    <row r="148" spans="1:10">
      <c r="A148" s="189" t="s">
        <v>299</v>
      </c>
      <c r="B148" s="189">
        <v>222</v>
      </c>
      <c r="C148" s="190">
        <v>875302.94</v>
      </c>
      <c r="D148" s="190">
        <v>798753.59</v>
      </c>
      <c r="E148" s="189">
        <v>4</v>
      </c>
      <c r="F148" s="189" t="s">
        <v>961</v>
      </c>
      <c r="G148" s="189">
        <v>2</v>
      </c>
      <c r="H148" s="194">
        <v>399686.25</v>
      </c>
      <c r="J148" s="2"/>
    </row>
    <row r="149" spans="1:10">
      <c r="A149" s="191" t="s">
        <v>299</v>
      </c>
      <c r="B149" s="189">
        <v>6</v>
      </c>
      <c r="C149" s="190">
        <v>3117781.3</v>
      </c>
      <c r="D149" s="190">
        <v>3677284.21</v>
      </c>
      <c r="E149" s="189">
        <v>8</v>
      </c>
      <c r="F149" s="189" t="s">
        <v>948</v>
      </c>
      <c r="G149" s="189">
        <v>0</v>
      </c>
      <c r="H149" s="194">
        <v>-559502.91</v>
      </c>
      <c r="J149" s="2"/>
    </row>
    <row r="150" spans="1:10">
      <c r="A150" s="189" t="s">
        <v>295</v>
      </c>
      <c r="B150" s="189">
        <v>222</v>
      </c>
      <c r="C150" s="190">
        <v>727303.65</v>
      </c>
      <c r="D150" s="189" t="s">
        <v>948</v>
      </c>
      <c r="E150" s="189">
        <v>0</v>
      </c>
      <c r="F150" s="189" t="s">
        <v>948</v>
      </c>
      <c r="G150" s="189">
        <v>0</v>
      </c>
      <c r="H150" s="194">
        <v>727303.65</v>
      </c>
      <c r="J150" s="2"/>
    </row>
    <row r="151" spans="1:10">
      <c r="A151" s="191" t="s">
        <v>295</v>
      </c>
      <c r="B151" s="189">
        <v>317</v>
      </c>
      <c r="C151" s="190">
        <v>6685703.7699999996</v>
      </c>
      <c r="D151" s="190">
        <v>1086140.21</v>
      </c>
      <c r="E151" s="189">
        <v>3</v>
      </c>
      <c r="F151" s="189" t="s">
        <v>948</v>
      </c>
      <c r="G151" s="189">
        <v>0</v>
      </c>
      <c r="H151" s="194">
        <v>5599563.5599999996</v>
      </c>
      <c r="J151" s="2"/>
    </row>
    <row r="152" spans="1:10">
      <c r="A152" s="189" t="s">
        <v>273</v>
      </c>
      <c r="B152" s="189">
        <v>222</v>
      </c>
      <c r="C152" s="190">
        <v>765824.01</v>
      </c>
      <c r="D152" s="190">
        <v>761503.39</v>
      </c>
      <c r="E152" s="189">
        <v>3</v>
      </c>
      <c r="F152" s="189" t="s">
        <v>962</v>
      </c>
      <c r="G152" s="189">
        <v>1</v>
      </c>
      <c r="H152" s="194">
        <v>108012.92</v>
      </c>
      <c r="J152" s="2"/>
    </row>
    <row r="153" spans="1:10">
      <c r="A153" s="191" t="s">
        <v>273</v>
      </c>
      <c r="B153" s="189">
        <v>1</v>
      </c>
      <c r="C153" s="190">
        <v>6774609.8700000001</v>
      </c>
      <c r="D153" s="190">
        <v>6871474.0099999998</v>
      </c>
      <c r="E153" s="189">
        <v>17</v>
      </c>
      <c r="F153" s="189" t="s">
        <v>963</v>
      </c>
      <c r="G153" s="189">
        <v>3</v>
      </c>
      <c r="H153" s="194">
        <v>249816.94</v>
      </c>
      <c r="J153" s="2"/>
    </row>
    <row r="154" spans="1:10">
      <c r="A154" s="189"/>
      <c r="B154" s="189"/>
      <c r="C154" s="189"/>
      <c r="D154" s="189"/>
      <c r="E154" s="189"/>
      <c r="F154" s="189"/>
      <c r="G154" s="189"/>
      <c r="H154" s="189"/>
    </row>
    <row r="155" spans="1:10">
      <c r="A155" s="189" t="s">
        <v>964</v>
      </c>
      <c r="B155" s="189"/>
      <c r="C155" s="189" t="s">
        <v>965</v>
      </c>
      <c r="D155" s="189" t="s">
        <v>966</v>
      </c>
      <c r="E155" s="189">
        <v>237</v>
      </c>
      <c r="F155" s="189" t="s">
        <v>967</v>
      </c>
      <c r="G155" s="189">
        <v>36</v>
      </c>
      <c r="H155" s="189" t="s">
        <v>968</v>
      </c>
    </row>
  </sheetData>
  <autoFilter ref="A72:Z72" xr:uid="{83C6F5A9-31C9-4C31-9923-93160412B163}"/>
  <mergeCells count="44">
    <mergeCell ref="L33:V33"/>
    <mergeCell ref="L34:V34"/>
    <mergeCell ref="L36:L38"/>
    <mergeCell ref="M36:M38"/>
    <mergeCell ref="N36:N38"/>
    <mergeCell ref="O36:O38"/>
    <mergeCell ref="P36:W36"/>
    <mergeCell ref="P37:Q37"/>
    <mergeCell ref="R37:S37"/>
    <mergeCell ref="T37:U37"/>
    <mergeCell ref="V37:W37"/>
    <mergeCell ref="L65:Q65"/>
    <mergeCell ref="L66:Q66"/>
    <mergeCell ref="L60:M60"/>
    <mergeCell ref="L62:Q62"/>
    <mergeCell ref="L63:Q63"/>
    <mergeCell ref="L64:Q64"/>
    <mergeCell ref="A64:J64"/>
    <mergeCell ref="A65:J65"/>
    <mergeCell ref="A66:J66"/>
    <mergeCell ref="A63:J63"/>
    <mergeCell ref="I37:J37"/>
    <mergeCell ref="A61:B61"/>
    <mergeCell ref="A33:I33"/>
    <mergeCell ref="A34:I34"/>
    <mergeCell ref="A36:A38"/>
    <mergeCell ref="B36:B38"/>
    <mergeCell ref="C36:J36"/>
    <mergeCell ref="C37:D37"/>
    <mergeCell ref="E37:F37"/>
    <mergeCell ref="G37:H37"/>
    <mergeCell ref="A5:A6"/>
    <mergeCell ref="I5:M5"/>
    <mergeCell ref="P5:T5"/>
    <mergeCell ref="V5:Z5"/>
    <mergeCell ref="C5:G5"/>
    <mergeCell ref="B5:B6"/>
    <mergeCell ref="B104:D104"/>
    <mergeCell ref="A97:H97"/>
    <mergeCell ref="A98:H98"/>
    <mergeCell ref="A100:D100"/>
    <mergeCell ref="B101:D101"/>
    <mergeCell ref="B102:D102"/>
    <mergeCell ref="B103:D103"/>
  </mergeCells>
  <pageMargins left="0.51181102362204722" right="0.51181102362204722" top="0.78740157480314965" bottom="0.78740157480314965" header="0.31496062992125984" footer="0.31496062992125984"/>
  <pageSetup paperSize="9" orientation="landscape"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33"/>
  <sheetViews>
    <sheetView workbookViewId="0">
      <selection activeCell="J9" sqref="J9"/>
    </sheetView>
  </sheetViews>
  <sheetFormatPr defaultRowHeight="14.4"/>
  <cols>
    <col min="1" max="1" width="11.33203125" customWidth="1"/>
    <col min="4" max="4" width="12.33203125" bestFit="1" customWidth="1"/>
    <col min="6" max="6" width="29.88671875" customWidth="1"/>
    <col min="10" max="10" width="10.44140625" customWidth="1"/>
    <col min="11" max="12" width="25.6640625" customWidth="1"/>
    <col min="13" max="13" width="32" customWidth="1"/>
    <col min="14" max="14" width="17.44140625" bestFit="1" customWidth="1"/>
    <col min="15" max="15" width="17.44140625" customWidth="1"/>
    <col min="16" max="16" width="43.33203125" bestFit="1" customWidth="1"/>
    <col min="17" max="17" width="42.6640625" bestFit="1" customWidth="1"/>
  </cols>
  <sheetData>
    <row r="1" spans="1:17" ht="16.2" thickBot="1">
      <c r="A1" t="s">
        <v>98</v>
      </c>
      <c r="D1" s="66" t="s">
        <v>113</v>
      </c>
      <c r="E1" s="66" t="s">
        <v>43</v>
      </c>
      <c r="F1" s="66" t="s">
        <v>969</v>
      </c>
      <c r="K1" s="208" t="s">
        <v>855</v>
      </c>
      <c r="L1" s="209" t="s">
        <v>970</v>
      </c>
      <c r="M1" s="209" t="s">
        <v>971</v>
      </c>
      <c r="N1" s="209" t="s">
        <v>972</v>
      </c>
      <c r="O1" s="209" t="s">
        <v>973</v>
      </c>
      <c r="P1" s="209" t="s">
        <v>974</v>
      </c>
      <c r="Q1" s="210" t="s">
        <v>975</v>
      </c>
    </row>
    <row r="2" spans="1:17" ht="27" thickBot="1">
      <c r="A2" t="s">
        <v>101</v>
      </c>
      <c r="D2" t="s">
        <v>122</v>
      </c>
      <c r="E2">
        <v>1</v>
      </c>
      <c r="F2" s="52" t="s">
        <v>865</v>
      </c>
      <c r="K2" s="211" t="s">
        <v>976</v>
      </c>
      <c r="L2" s="212" t="str">
        <f>LEFT(DIM_SUBPDC[[#This Row],[subpdc cod]],1)</f>
        <v>1</v>
      </c>
      <c r="M2" s="212" t="s">
        <v>977</v>
      </c>
      <c r="N2" s="212" t="str">
        <f>LEFT(DIM_SUBPDC[[#This Row],[Sub PDC]],3)</f>
        <v>1.1</v>
      </c>
      <c r="O2" s="212">
        <v>11</v>
      </c>
      <c r="P2" s="212" t="s">
        <v>978</v>
      </c>
      <c r="Q2" s="213" t="s">
        <v>979</v>
      </c>
    </row>
    <row r="3" spans="1:17" ht="27" thickBot="1">
      <c r="D3" t="s">
        <v>126</v>
      </c>
      <c r="E3">
        <v>2</v>
      </c>
      <c r="F3" s="52" t="s">
        <v>867</v>
      </c>
      <c r="K3" s="211" t="s">
        <v>976</v>
      </c>
      <c r="L3" s="214" t="str">
        <f>LEFT(DIM_SUBPDC[[#This Row],[subpdc cod]],1)</f>
        <v>1</v>
      </c>
      <c r="M3" s="214" t="s">
        <v>980</v>
      </c>
      <c r="N3" s="214" t="str">
        <f>LEFT(DIM_SUBPDC[[#This Row],[Sub PDC]],3)</f>
        <v>1.2</v>
      </c>
      <c r="O3" s="214">
        <v>12</v>
      </c>
      <c r="P3" s="212" t="s">
        <v>981</v>
      </c>
      <c r="Q3" s="215" t="s">
        <v>982</v>
      </c>
    </row>
    <row r="4" spans="1:17" ht="27" thickBot="1">
      <c r="D4" t="s">
        <v>133</v>
      </c>
      <c r="E4">
        <v>3</v>
      </c>
      <c r="F4" s="52" t="s">
        <v>868</v>
      </c>
      <c r="K4" s="211" t="s">
        <v>976</v>
      </c>
      <c r="L4" s="212" t="str">
        <f>LEFT(DIM_SUBPDC[[#This Row],[subpdc cod]],1)</f>
        <v>1</v>
      </c>
      <c r="M4" s="212" t="s">
        <v>983</v>
      </c>
      <c r="N4" s="212" t="str">
        <f>LEFT(DIM_SUBPDC[[#This Row],[Sub PDC]],3)</f>
        <v>1.3</v>
      </c>
      <c r="O4" s="212">
        <v>13</v>
      </c>
      <c r="P4" s="212" t="s">
        <v>984</v>
      </c>
      <c r="Q4" s="213" t="s">
        <v>985</v>
      </c>
    </row>
    <row r="5" spans="1:17" ht="27" thickBot="1">
      <c r="D5" t="s">
        <v>137</v>
      </c>
      <c r="E5">
        <v>4</v>
      </c>
      <c r="F5" s="52" t="s">
        <v>986</v>
      </c>
      <c r="K5" s="211" t="s">
        <v>976</v>
      </c>
      <c r="L5" s="212" t="str">
        <f>LEFT(DIM_SUBPDC[[#This Row],[subpdc cod]],1)</f>
        <v>1</v>
      </c>
      <c r="M5" s="212" t="s">
        <v>987</v>
      </c>
      <c r="N5" s="212" t="str">
        <f>LEFT(DIM_SUBPDC[[#This Row],[Sub PDC]],3)</f>
        <v>1.4</v>
      </c>
      <c r="O5" s="212">
        <v>14</v>
      </c>
      <c r="P5" s="212" t="s">
        <v>988</v>
      </c>
      <c r="Q5" s="213" t="s">
        <v>989</v>
      </c>
    </row>
    <row r="6" spans="1:17" ht="27" thickBot="1">
      <c r="D6" t="s">
        <v>155</v>
      </c>
      <c r="E6">
        <v>5</v>
      </c>
      <c r="F6" s="52" t="s">
        <v>871</v>
      </c>
      <c r="K6" s="211" t="s">
        <v>976</v>
      </c>
      <c r="L6" s="212" t="str">
        <f>LEFT(DIM_SUBPDC[[#This Row],[subpdc cod]],1)</f>
        <v>1</v>
      </c>
      <c r="M6" s="212" t="s">
        <v>990</v>
      </c>
      <c r="N6" s="212" t="str">
        <f>LEFT(DIM_SUBPDC[[#This Row],[Sub PDC]],3)</f>
        <v>1.5</v>
      </c>
      <c r="O6" s="212">
        <v>15</v>
      </c>
      <c r="P6" s="212" t="s">
        <v>991</v>
      </c>
      <c r="Q6" s="213" t="s">
        <v>992</v>
      </c>
    </row>
    <row r="7" spans="1:17" ht="27" thickBot="1">
      <c r="D7" t="s">
        <v>166</v>
      </c>
      <c r="E7">
        <v>6</v>
      </c>
      <c r="F7" s="52" t="s">
        <v>873</v>
      </c>
      <c r="K7" s="211" t="s">
        <v>976</v>
      </c>
      <c r="L7" s="212" t="str">
        <f>LEFT(DIM_SUBPDC[[#This Row],[subpdc cod]],1)</f>
        <v>1</v>
      </c>
      <c r="M7" s="212" t="s">
        <v>993</v>
      </c>
      <c r="N7" s="212" t="str">
        <f>LEFT(DIM_SUBPDC[[#This Row],[Sub PDC]],3)</f>
        <v>1.6</v>
      </c>
      <c r="O7" s="212">
        <v>16</v>
      </c>
      <c r="P7" s="212" t="s">
        <v>994</v>
      </c>
      <c r="Q7" s="213" t="s">
        <v>995</v>
      </c>
    </row>
    <row r="8" spans="1:17" ht="27" thickBot="1">
      <c r="D8" t="s">
        <v>196</v>
      </c>
      <c r="E8">
        <v>7</v>
      </c>
      <c r="F8" s="52" t="s">
        <v>875</v>
      </c>
      <c r="K8" s="211" t="s">
        <v>976</v>
      </c>
      <c r="L8" s="212" t="str">
        <f>LEFT(DIM_SUBPDC[[#This Row],[subpdc cod]],1)</f>
        <v>1</v>
      </c>
      <c r="M8" s="212" t="s">
        <v>996</v>
      </c>
      <c r="N8" s="212" t="str">
        <f>LEFT(DIM_SUBPDC[[#This Row],[Sub PDC]],3)</f>
        <v>1.7</v>
      </c>
      <c r="O8" s="212">
        <v>17</v>
      </c>
      <c r="P8" s="212" t="s">
        <v>997</v>
      </c>
      <c r="Q8" s="213" t="s">
        <v>998</v>
      </c>
    </row>
    <row r="9" spans="1:17" ht="27" thickBot="1">
      <c r="D9" t="s">
        <v>203</v>
      </c>
      <c r="E9">
        <v>8</v>
      </c>
      <c r="F9" s="52" t="s">
        <v>876</v>
      </c>
      <c r="K9" s="211" t="s">
        <v>999</v>
      </c>
      <c r="L9" s="212" t="str">
        <f>LEFT(DIM_SUBPDC[[#This Row],[subpdc cod]],1)</f>
        <v>2</v>
      </c>
      <c r="M9" s="212" t="s">
        <v>1000</v>
      </c>
      <c r="N9" s="212" t="str">
        <f>LEFT(DIM_SUBPDC[[#This Row],[Sub PDC]],3)</f>
        <v>2.1</v>
      </c>
      <c r="O9" s="212">
        <v>21</v>
      </c>
      <c r="P9" s="212" t="s">
        <v>1001</v>
      </c>
      <c r="Q9" s="213" t="s">
        <v>1002</v>
      </c>
    </row>
    <row r="10" spans="1:17" ht="27" thickBot="1">
      <c r="D10" t="s">
        <v>209</v>
      </c>
      <c r="E10">
        <v>9</v>
      </c>
      <c r="F10" s="52" t="s">
        <v>877</v>
      </c>
      <c r="K10" s="211" t="s">
        <v>999</v>
      </c>
      <c r="L10" s="212" t="str">
        <f>LEFT(DIM_SUBPDC[[#This Row],[subpdc cod]],1)</f>
        <v>2</v>
      </c>
      <c r="M10" s="212" t="s">
        <v>1003</v>
      </c>
      <c r="N10" s="212" t="str">
        <f>LEFT(DIM_SUBPDC[[#This Row],[Sub PDC]],3)</f>
        <v>2.2</v>
      </c>
      <c r="O10" s="212">
        <v>22</v>
      </c>
      <c r="P10" s="212" t="s">
        <v>1004</v>
      </c>
      <c r="Q10" s="213" t="s">
        <v>1005</v>
      </c>
    </row>
    <row r="11" spans="1:17" ht="27" thickBot="1">
      <c r="D11" t="s">
        <v>224</v>
      </c>
      <c r="E11">
        <v>10</v>
      </c>
      <c r="F11" s="52" t="s">
        <v>878</v>
      </c>
      <c r="K11" s="211" t="s">
        <v>999</v>
      </c>
      <c r="L11" s="212" t="str">
        <f>LEFT(DIM_SUBPDC[[#This Row],[subpdc cod]],1)</f>
        <v>2</v>
      </c>
      <c r="M11" s="212" t="s">
        <v>1006</v>
      </c>
      <c r="N11" s="212" t="str">
        <f>LEFT(DIM_SUBPDC[[#This Row],[Sub PDC]],3)</f>
        <v>2.3</v>
      </c>
      <c r="O11" s="212">
        <v>23</v>
      </c>
      <c r="P11" s="212" t="s">
        <v>1007</v>
      </c>
      <c r="Q11" s="213" t="s">
        <v>1008</v>
      </c>
    </row>
    <row r="12" spans="1:17" ht="40.200000000000003" thickBot="1">
      <c r="D12" t="s">
        <v>245</v>
      </c>
      <c r="E12">
        <v>11</v>
      </c>
      <c r="F12" s="52" t="s">
        <v>880</v>
      </c>
      <c r="K12" s="211" t="s">
        <v>999</v>
      </c>
      <c r="L12" s="212" t="str">
        <f>LEFT(DIM_SUBPDC[[#This Row],[subpdc cod]],1)</f>
        <v>2</v>
      </c>
      <c r="M12" s="212" t="s">
        <v>1009</v>
      </c>
      <c r="N12" s="212" t="str">
        <f>LEFT(DIM_SUBPDC[[#This Row],[Sub PDC]],3)</f>
        <v>2.4</v>
      </c>
      <c r="O12" s="212">
        <v>24</v>
      </c>
      <c r="P12" s="212" t="s">
        <v>1010</v>
      </c>
      <c r="Q12" s="213" t="s">
        <v>1011</v>
      </c>
    </row>
    <row r="13" spans="1:17" ht="27" thickBot="1">
      <c r="D13" t="s">
        <v>267</v>
      </c>
      <c r="E13">
        <v>12</v>
      </c>
      <c r="F13" s="52" t="s">
        <v>881</v>
      </c>
      <c r="K13" s="211" t="s">
        <v>999</v>
      </c>
      <c r="L13" s="212" t="str">
        <f>LEFT(DIM_SUBPDC[[#This Row],[subpdc cod]],1)</f>
        <v>2</v>
      </c>
      <c r="M13" s="212" t="s">
        <v>1012</v>
      </c>
      <c r="N13" s="212" t="str">
        <f>LEFT(DIM_SUBPDC[[#This Row],[Sub PDC]],3)</f>
        <v>2.5</v>
      </c>
      <c r="O13" s="212">
        <v>25</v>
      </c>
      <c r="P13" s="212" t="s">
        <v>1013</v>
      </c>
      <c r="Q13" s="213" t="s">
        <v>1014</v>
      </c>
    </row>
    <row r="14" spans="1:17" ht="27" thickBot="1">
      <c r="D14" t="s">
        <v>273</v>
      </c>
      <c r="E14">
        <v>13</v>
      </c>
      <c r="F14" s="52" t="s">
        <v>882</v>
      </c>
      <c r="K14" s="211" t="s">
        <v>999</v>
      </c>
      <c r="L14" s="212" t="str">
        <f>LEFT(DIM_SUBPDC[[#This Row],[subpdc cod]],1)</f>
        <v>2</v>
      </c>
      <c r="M14" s="212" t="s">
        <v>1015</v>
      </c>
      <c r="N14" s="212" t="str">
        <f>LEFT(DIM_SUBPDC[[#This Row],[Sub PDC]],3)</f>
        <v>2.6</v>
      </c>
      <c r="O14" s="212">
        <v>26</v>
      </c>
      <c r="P14" s="212" t="s">
        <v>1016</v>
      </c>
      <c r="Q14" s="213" t="s">
        <v>1017</v>
      </c>
    </row>
    <row r="15" spans="1:17" ht="40.200000000000003" thickBot="1">
      <c r="D15" t="s">
        <v>290</v>
      </c>
      <c r="E15">
        <v>14</v>
      </c>
      <c r="F15" s="52" t="s">
        <v>883</v>
      </c>
      <c r="K15" s="216" t="s">
        <v>1018</v>
      </c>
      <c r="L15" s="212" t="str">
        <f>LEFT(DIM_SUBPDC[[#This Row],[subpdc cod]],1)</f>
        <v>3</v>
      </c>
      <c r="M15" s="212" t="s">
        <v>1019</v>
      </c>
      <c r="N15" s="212" t="str">
        <f>LEFT(DIM_SUBPDC[[#This Row],[Sub PDC]],3)</f>
        <v>3.1</v>
      </c>
      <c r="O15" s="212">
        <v>31</v>
      </c>
      <c r="P15" s="212" t="s">
        <v>1020</v>
      </c>
      <c r="Q15" s="213" t="s">
        <v>1021</v>
      </c>
    </row>
    <row r="16" spans="1:17" ht="40.200000000000003" thickBot="1">
      <c r="D16" t="s">
        <v>295</v>
      </c>
      <c r="E16">
        <v>15</v>
      </c>
      <c r="F16" s="52" t="s">
        <v>884</v>
      </c>
      <c r="K16" s="216" t="s">
        <v>1018</v>
      </c>
      <c r="L16" s="212" t="str">
        <f>LEFT(DIM_SUBPDC[[#This Row],[subpdc cod]],1)</f>
        <v>3</v>
      </c>
      <c r="M16" s="212" t="s">
        <v>1022</v>
      </c>
      <c r="N16" s="212" t="str">
        <f>LEFT(DIM_SUBPDC[[#This Row],[Sub PDC]],3)</f>
        <v>3.2</v>
      </c>
      <c r="O16" s="212">
        <v>32</v>
      </c>
      <c r="P16" s="212" t="s">
        <v>1023</v>
      </c>
      <c r="Q16" s="213" t="s">
        <v>1024</v>
      </c>
    </row>
    <row r="17" spans="4:17" ht="40.200000000000003" thickBot="1">
      <c r="D17" t="s">
        <v>299</v>
      </c>
      <c r="E17">
        <v>16</v>
      </c>
      <c r="F17" s="52" t="s">
        <v>885</v>
      </c>
      <c r="K17" s="216" t="s">
        <v>1018</v>
      </c>
      <c r="L17" s="212" t="str">
        <f>LEFT(DIM_SUBPDC[[#This Row],[subpdc cod]],1)</f>
        <v>3</v>
      </c>
      <c r="M17" s="212" t="s">
        <v>1025</v>
      </c>
      <c r="N17" s="212" t="str">
        <f>LEFT(DIM_SUBPDC[[#This Row],[Sub PDC]],3)</f>
        <v>3.3</v>
      </c>
      <c r="O17" s="212">
        <v>33</v>
      </c>
      <c r="P17" s="212" t="s">
        <v>1026</v>
      </c>
      <c r="Q17" s="213" t="s">
        <v>1027</v>
      </c>
    </row>
    <row r="18" spans="4:17" ht="40.200000000000003" thickBot="1">
      <c r="D18" t="s">
        <v>310</v>
      </c>
      <c r="E18">
        <v>17</v>
      </c>
      <c r="F18" s="52" t="s">
        <v>886</v>
      </c>
      <c r="K18" s="216" t="s">
        <v>1018</v>
      </c>
      <c r="L18" s="212" t="str">
        <f>LEFT(DIM_SUBPDC[[#This Row],[subpdc cod]],1)</f>
        <v>3</v>
      </c>
      <c r="M18" s="212" t="s">
        <v>1028</v>
      </c>
      <c r="N18" s="212" t="str">
        <f>LEFT(DIM_SUBPDC[[#This Row],[Sub PDC]],3)</f>
        <v>3.4</v>
      </c>
      <c r="O18" s="212">
        <v>34</v>
      </c>
      <c r="P18" s="212" t="s">
        <v>1029</v>
      </c>
      <c r="Q18" s="213" t="s">
        <v>1030</v>
      </c>
    </row>
    <row r="19" spans="4:17" ht="40.200000000000003" thickBot="1">
      <c r="D19" t="s">
        <v>319</v>
      </c>
      <c r="E19">
        <v>18</v>
      </c>
      <c r="F19" s="52" t="s">
        <v>887</v>
      </c>
      <c r="K19" s="216" t="s">
        <v>1018</v>
      </c>
      <c r="L19" s="212" t="str">
        <f>LEFT(DIM_SUBPDC[[#This Row],[subpdc cod]],1)</f>
        <v>3</v>
      </c>
      <c r="M19" s="212" t="s">
        <v>1031</v>
      </c>
      <c r="N19" s="212" t="str">
        <f>LEFT(DIM_SUBPDC[[#This Row],[Sub PDC]],3)</f>
        <v>3.5</v>
      </c>
      <c r="O19" s="212">
        <v>35</v>
      </c>
      <c r="P19" s="212" t="s">
        <v>1032</v>
      </c>
      <c r="Q19" s="213" t="s">
        <v>1033</v>
      </c>
    </row>
    <row r="20" spans="4:17" ht="27" thickBot="1">
      <c r="D20" t="s">
        <v>321</v>
      </c>
      <c r="E20">
        <v>19</v>
      </c>
      <c r="F20" s="52" t="s">
        <v>888</v>
      </c>
      <c r="K20" s="216" t="s">
        <v>1034</v>
      </c>
      <c r="L20" s="212" t="str">
        <f>LEFT(DIM_SUBPDC[[#This Row],[subpdc cod]],1)</f>
        <v>4</v>
      </c>
      <c r="M20" s="212" t="s">
        <v>1035</v>
      </c>
      <c r="N20" s="212" t="str">
        <f>LEFT(DIM_SUBPDC[[#This Row],[Sub PDC]],3)</f>
        <v>4.1</v>
      </c>
      <c r="O20" s="212">
        <v>41</v>
      </c>
      <c r="P20" s="212" t="s">
        <v>1036</v>
      </c>
      <c r="Q20" s="213" t="s">
        <v>1037</v>
      </c>
    </row>
    <row r="21" spans="4:17" ht="27" thickBot="1">
      <c r="D21" t="s">
        <v>341</v>
      </c>
      <c r="E21">
        <v>22</v>
      </c>
      <c r="F21" s="52" t="s">
        <v>900</v>
      </c>
      <c r="K21" s="216" t="s">
        <v>1034</v>
      </c>
      <c r="L21" s="212" t="str">
        <f>LEFT(DIM_SUBPDC[[#This Row],[subpdc cod]],1)</f>
        <v>4</v>
      </c>
      <c r="M21" s="212" t="s">
        <v>1038</v>
      </c>
      <c r="N21" s="212" t="str">
        <f>LEFT(DIM_SUBPDC[[#This Row],[Sub PDC]],3)</f>
        <v>4.2</v>
      </c>
      <c r="O21" s="212">
        <v>42</v>
      </c>
      <c r="P21" s="212" t="s">
        <v>1039</v>
      </c>
      <c r="Q21" s="213" t="s">
        <v>1040</v>
      </c>
    </row>
    <row r="22" spans="4:17" ht="27" thickBot="1">
      <c r="D22" t="s">
        <v>351</v>
      </c>
      <c r="E22">
        <v>2021</v>
      </c>
      <c r="F22" s="57" t="s">
        <v>1041</v>
      </c>
      <c r="K22" s="216" t="s">
        <v>1042</v>
      </c>
      <c r="L22" s="212" t="str">
        <f>LEFT(DIM_SUBPDC[[#This Row],[subpdc cod]],1)</f>
        <v>5</v>
      </c>
      <c r="M22" s="212" t="s">
        <v>1043</v>
      </c>
      <c r="N22" s="212" t="str">
        <f>LEFT(DIM_SUBPDC[[#This Row],[Sub PDC]],3)</f>
        <v>5.1</v>
      </c>
      <c r="O22" s="212">
        <v>51</v>
      </c>
      <c r="P22" s="212" t="s">
        <v>1044</v>
      </c>
      <c r="Q22" s="213" t="s">
        <v>1045</v>
      </c>
    </row>
    <row r="23" spans="4:17" ht="27" thickBot="1">
      <c r="K23" s="216" t="s">
        <v>1042</v>
      </c>
      <c r="L23" s="212" t="str">
        <f>LEFT(DIM_SUBPDC[[#This Row],[subpdc cod]],1)</f>
        <v>5</v>
      </c>
      <c r="M23" s="212" t="s">
        <v>1046</v>
      </c>
      <c r="N23" s="212" t="str">
        <f>LEFT(DIM_SUBPDC[[#This Row],[Sub PDC]],3)</f>
        <v>5.2</v>
      </c>
      <c r="O23" s="212">
        <v>52</v>
      </c>
      <c r="P23" s="212" t="s">
        <v>1047</v>
      </c>
      <c r="Q23" s="213" t="s">
        <v>1048</v>
      </c>
    </row>
    <row r="24" spans="4:17" ht="27" thickBot="1">
      <c r="K24" s="216" t="s">
        <v>1042</v>
      </c>
      <c r="L24" s="212" t="str">
        <f>LEFT(DIM_SUBPDC[[#This Row],[subpdc cod]],1)</f>
        <v>5</v>
      </c>
      <c r="M24" s="212" t="s">
        <v>1049</v>
      </c>
      <c r="N24" s="212" t="str">
        <f>LEFT(DIM_SUBPDC[[#This Row],[Sub PDC]],3)</f>
        <v>5.3</v>
      </c>
      <c r="O24" s="212">
        <v>53</v>
      </c>
      <c r="P24" s="212" t="s">
        <v>1050</v>
      </c>
      <c r="Q24" s="213" t="s">
        <v>1051</v>
      </c>
    </row>
    <row r="25" spans="4:17" ht="27" thickBot="1">
      <c r="K25" s="216" t="s">
        <v>1052</v>
      </c>
      <c r="L25" s="212" t="str">
        <f>LEFT(DIM_SUBPDC[[#This Row],[subpdc cod]],1)</f>
        <v>6</v>
      </c>
      <c r="M25" s="212" t="s">
        <v>1053</v>
      </c>
      <c r="N25" s="212" t="str">
        <f>LEFT(DIM_SUBPDC[[#This Row],[Sub PDC]],3)</f>
        <v>6.1</v>
      </c>
      <c r="O25" s="212">
        <v>61</v>
      </c>
      <c r="P25" s="212" t="s">
        <v>1054</v>
      </c>
      <c r="Q25" s="213" t="s">
        <v>1055</v>
      </c>
    </row>
    <row r="26" spans="4:17" ht="27" thickBot="1">
      <c r="K26" s="216" t="s">
        <v>1052</v>
      </c>
      <c r="L26" s="212" t="str">
        <f>LEFT(DIM_SUBPDC[[#This Row],[subpdc cod]],1)</f>
        <v>6</v>
      </c>
      <c r="M26" s="212" t="s">
        <v>1056</v>
      </c>
      <c r="N26" s="212" t="str">
        <f>LEFT(DIM_SUBPDC[[#This Row],[Sub PDC]],3)</f>
        <v>6.2</v>
      </c>
      <c r="O26" s="212">
        <v>62</v>
      </c>
      <c r="P26" s="212" t="s">
        <v>1057</v>
      </c>
      <c r="Q26" s="213" t="s">
        <v>1058</v>
      </c>
    </row>
    <row r="27" spans="4:17" ht="27" thickBot="1">
      <c r="K27" s="216" t="s">
        <v>1052</v>
      </c>
      <c r="L27" s="212" t="str">
        <f>LEFT(DIM_SUBPDC[[#This Row],[subpdc cod]],1)</f>
        <v>6</v>
      </c>
      <c r="M27" s="212" t="s">
        <v>1059</v>
      </c>
      <c r="N27" s="212" t="str">
        <f>LEFT(DIM_SUBPDC[[#This Row],[Sub PDC]],3)</f>
        <v>6.3</v>
      </c>
      <c r="O27" s="212">
        <v>63</v>
      </c>
      <c r="P27" s="212" t="s">
        <v>1060</v>
      </c>
      <c r="Q27" s="213" t="s">
        <v>1061</v>
      </c>
    </row>
    <row r="28" spans="4:17" ht="27" thickBot="1">
      <c r="K28" s="216" t="s">
        <v>1062</v>
      </c>
      <c r="L28" s="212" t="str">
        <f>LEFT(DIM_SUBPDC[[#This Row],[subpdc cod]],1)</f>
        <v>7</v>
      </c>
      <c r="M28" s="212" t="s">
        <v>1063</v>
      </c>
      <c r="N28" s="212" t="str">
        <f>LEFT(DIM_SUBPDC[[#This Row],[Sub PDC]],3)</f>
        <v>7.1</v>
      </c>
      <c r="O28" s="212">
        <v>71</v>
      </c>
      <c r="P28" s="212" t="s">
        <v>1064</v>
      </c>
      <c r="Q28" s="213" t="s">
        <v>1065</v>
      </c>
    </row>
    <row r="29" spans="4:17" ht="27" thickBot="1">
      <c r="K29" s="216" t="s">
        <v>1062</v>
      </c>
      <c r="L29" s="212" t="str">
        <f>LEFT(DIM_SUBPDC[[#This Row],[subpdc cod]],1)</f>
        <v>7</v>
      </c>
      <c r="M29" s="212" t="s">
        <v>1066</v>
      </c>
      <c r="N29" s="212" t="str">
        <f>LEFT(DIM_SUBPDC[[#This Row],[Sub PDC]],3)</f>
        <v>7.2</v>
      </c>
      <c r="O29" s="212">
        <v>72</v>
      </c>
      <c r="P29" s="212" t="s">
        <v>1067</v>
      </c>
      <c r="Q29" s="213" t="s">
        <v>1068</v>
      </c>
    </row>
    <row r="30" spans="4:17" ht="27" thickBot="1">
      <c r="K30" s="216" t="s">
        <v>1062</v>
      </c>
      <c r="L30" s="212" t="str">
        <f>LEFT(DIM_SUBPDC[[#This Row],[subpdc cod]],1)</f>
        <v>7</v>
      </c>
      <c r="M30" s="212" t="s">
        <v>1069</v>
      </c>
      <c r="N30" s="212" t="str">
        <f>LEFT(DIM_SUBPDC[[#This Row],[Sub PDC]],3)</f>
        <v>7.3</v>
      </c>
      <c r="O30" s="212">
        <v>73</v>
      </c>
      <c r="P30" s="212" t="s">
        <v>1070</v>
      </c>
      <c r="Q30" s="213" t="s">
        <v>1071</v>
      </c>
    </row>
    <row r="31" spans="4:17" ht="27" thickBot="1">
      <c r="K31" s="216" t="s">
        <v>1072</v>
      </c>
      <c r="L31" s="212" t="str">
        <f>LEFT(DIM_SUBPDC[[#This Row],[subpdc cod]],1)</f>
        <v>8</v>
      </c>
      <c r="M31" s="212" t="s">
        <v>1073</v>
      </c>
      <c r="N31" s="212" t="str">
        <f>LEFT(DIM_SUBPDC[[#This Row],[Sub PDC]],3)</f>
        <v>8.1</v>
      </c>
      <c r="O31" s="212">
        <v>81</v>
      </c>
      <c r="P31" s="212" t="s">
        <v>1074</v>
      </c>
      <c r="Q31" s="213" t="s">
        <v>1075</v>
      </c>
    </row>
    <row r="32" spans="4:17" ht="27" thickBot="1">
      <c r="K32" s="216" t="s">
        <v>1072</v>
      </c>
      <c r="L32" s="212" t="str">
        <f>LEFT(DIM_SUBPDC[[#This Row],[subpdc cod]],1)</f>
        <v>8</v>
      </c>
      <c r="M32" s="212" t="s">
        <v>1076</v>
      </c>
      <c r="N32" s="212" t="str">
        <f>LEFT(DIM_SUBPDC[[#This Row],[Sub PDC]],3)</f>
        <v>8.2</v>
      </c>
      <c r="O32" s="212">
        <v>82</v>
      </c>
      <c r="P32" s="212" t="s">
        <v>1077</v>
      </c>
      <c r="Q32" s="213" t="s">
        <v>1078</v>
      </c>
    </row>
    <row r="33" spans="11:17" ht="27" thickBot="1">
      <c r="K33" s="216" t="s">
        <v>1072</v>
      </c>
      <c r="L33" s="212" t="str">
        <f>LEFT(DIM_SUBPDC[[#This Row],[subpdc cod]],1)</f>
        <v>8</v>
      </c>
      <c r="M33" s="212" t="s">
        <v>1079</v>
      </c>
      <c r="N33" s="212" t="str">
        <f>LEFT(DIM_SUBPDC[[#This Row],[Sub PDC]],3)</f>
        <v>8.3</v>
      </c>
      <c r="O33" s="212">
        <v>83</v>
      </c>
      <c r="P33" s="212" t="s">
        <v>1080</v>
      </c>
      <c r="Q33" s="213" t="s">
        <v>1081</v>
      </c>
    </row>
  </sheetData>
  <pageMargins left="0.511811024" right="0.511811024" top="0.78740157499999996" bottom="0.78740157499999996" header="0.31496062000000002" footer="0.31496062000000002"/>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BC9FF30929C8E04FBC196FD8B500633E" ma:contentTypeVersion="13" ma:contentTypeDescription="Create a new document." ma:contentTypeScope="" ma:versionID="15f39a69ced0756595c2485057ffb6ec">
  <xsd:schema xmlns:xsd="http://www.w3.org/2001/XMLSchema" xmlns:xs="http://www.w3.org/2001/XMLSchema" xmlns:p="http://schemas.microsoft.com/office/2006/metadata/properties" xmlns:ns3="9c526100-92ac-402b-9d09-4947c0e8c214" xmlns:ns4="f4b97729-89ff-4087-8aa8-d163192c6d6b" targetNamespace="http://schemas.microsoft.com/office/2006/metadata/properties" ma:root="true" ma:fieldsID="56c050a46e0296a731f433ed39f13396" ns3:_="" ns4:_="">
    <xsd:import namespace="9c526100-92ac-402b-9d09-4947c0e8c214"/>
    <xsd:import namespace="f4b97729-89ff-4087-8aa8-d163192c6d6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26100-92ac-402b-9d09-4947c0e8c21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b97729-89ff-4087-8aa8-d163192c6d6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p:properties>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xml version="1.0" encoding="utf-8"?>
<?mso-contentType ?>
<FormTemplates xmlns="http://schemas.microsoft.com/sharepoint/v3/contenttype/forms">
  <Display>DocumentLibraryForm</Display>
  <Edit>DocumentLibraryForm</Edit>
  <New>DocumentLibraryForm</New>
</FormTemplates>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Props1.xml><?xml version="1.0" encoding="utf-8"?>
<ds:datastoreItem xmlns:ds="http://schemas.openxmlformats.org/officeDocument/2006/customXml" ds:itemID="{C9B1DDFE-A603-4271-9CB7-D8E990A45ED5}">
  <ds:schemaRefs>
    <ds:schemaRef ds:uri="http://gemini/pivotcustomization/ClientWindowXML"/>
  </ds:schemaRefs>
</ds:datastoreItem>
</file>

<file path=customXml/itemProps2.xml><?xml version="1.0" encoding="utf-8"?>
<ds:datastoreItem xmlns:ds="http://schemas.openxmlformats.org/officeDocument/2006/customXml" ds:itemID="{65C4BD2F-464E-4C30-A6D4-1676272090B4}">
  <ds:schemaRefs>
    <ds:schemaRef ds:uri="http://gemini/pivotcustomization/TableXML_Prioridades PA PI ugrhis PDC - fehidro-8bbe0e85-8e22-45bb-aac8-0926be563544"/>
  </ds:schemaRefs>
</ds:datastoreItem>
</file>

<file path=customXml/itemProps3.xml><?xml version="1.0" encoding="utf-8"?>
<ds:datastoreItem xmlns:ds="http://schemas.openxmlformats.org/officeDocument/2006/customXml" ds:itemID="{34E36699-3635-44A8-B6E6-C1D3FFFA4569}">
  <ds:schemaRefs>
    <ds:schemaRef ds:uri="http://gemini/pivotcustomization/TableXML_Prioridades PA PI ugrhis PDC - fehidro-8bbe0e85-8e22-45bb-aac8-0926be563544"/>
  </ds:schemaRefs>
</ds:datastoreItem>
</file>

<file path=customXml/itemProps4.xml><?xml version="1.0" encoding="utf-8"?>
<ds:datastoreItem xmlns:ds="http://schemas.openxmlformats.org/officeDocument/2006/customXml" ds:itemID="{E5C3E33C-7AB5-452E-80A3-CAA3EBFBFB7D}">
  <ds:schemaRefs>
    <ds:schemaRef ds:uri="http://gemini/pivotcustomization/TableXML_Prioridades PA PI ugrhis PDC - fehidro-8bbe0e85-8e22-45bb-aac8-0926be563544"/>
  </ds:schemaRefs>
</ds:datastoreItem>
</file>

<file path=customXml/itemProps5.xml><?xml version="1.0" encoding="utf-8"?>
<ds:datastoreItem xmlns:ds="http://schemas.openxmlformats.org/officeDocument/2006/customXml" ds:itemID="{3FC61F37-9605-4C94-88D2-3A203AB9B7CD}">
  <ds:schemaRefs>
    <ds:schemaRef ds:uri="http://gemini/pivotcustomization/TableXML_Dim_Colegiado"/>
  </ds:schemaRefs>
</ds:datastoreItem>
</file>

<file path=customXml/itemProps6.xml><?xml version="1.0" encoding="utf-8"?>
<ds:datastoreItem xmlns:ds="http://schemas.openxmlformats.org/officeDocument/2006/customXml" ds:itemID="{6E6D614F-95F3-40A6-A6C1-CD58A9FA1AFC}">
  <ds:schemaRefs>
    <ds:schemaRef ds:uri="http://gemini/pivotcustomization/TableXML_Prioridades PA PI ugrhis PDC - fehidro-8bbe0e85-8e22-45bb-aac8-0926be563544"/>
  </ds:schemaRefs>
</ds:datastoreItem>
</file>

<file path=customXml/itemProps7.xml><?xml version="1.0" encoding="utf-8"?>
<ds:datastoreItem xmlns:ds="http://schemas.openxmlformats.org/officeDocument/2006/customXml" ds:itemID="{47EB4CCF-58E6-41F3-9872-0DFB3249ADE6}">
  <ds:schemaRefs>
    <ds:schemaRef ds:uri="http://gemini/pivotcustomization/ShowImplicitMeasures"/>
  </ds:schemaRefs>
</ds:datastoreItem>
</file>

<file path=customXml/itemProps8.xml><?xml version="1.0" encoding="utf-8"?>
<ds:datastoreItem xmlns:ds="http://schemas.openxmlformats.org/officeDocument/2006/customXml" ds:itemID="{4F0C09D1-FA38-4DCD-A75A-52433DCFDD8D}">
  <ds:schemaRefs>
    <ds:schemaRef ds:uri="http://gemini/pivotcustomization/TableXML_Prioridades PA PI ugrhis PDC - fehidro-8bbe0e85-8e22-45bb-aac8-0926be563544"/>
  </ds:schemaRefs>
</ds:datastoreItem>
</file>

<file path=customXml/itemProps9.xml><?xml version="1.0" encoding="utf-8"?>
<ds:datastoreItem xmlns:ds="http://schemas.openxmlformats.org/officeDocument/2006/customXml" ds:itemID="{A00A3878-795C-4E7F-83C1-CC76A4AE36DE}">
  <ds:schemaRefs>
    <ds:schemaRef ds:uri="http://gemini/pivotcustomization/TableXML_Prioridades PA PI ugrhis PDC - fehidro-8bbe0e85-8e22-45bb-aac8-0926be563544"/>
  </ds:schemaRefs>
</ds:datastoreItem>
</file>

<file path=customXml/itemProps10.xml><?xml version="1.0" encoding="utf-8"?>
<ds:datastoreItem xmlns:ds="http://schemas.openxmlformats.org/officeDocument/2006/customXml" ds:itemID="{1B8325CB-F5EF-4FEB-B0BF-E90DBC12C57C}">
  <ds:schemaRefs>
    <ds:schemaRef ds:uri="http://gemini/pivotcustomization/MeasureGridState"/>
  </ds:schemaRefs>
</ds:datastoreItem>
</file>

<file path=customXml/itemProps11.xml><?xml version="1.0" encoding="utf-8"?>
<ds:datastoreItem xmlns:ds="http://schemas.openxmlformats.org/officeDocument/2006/customXml" ds:itemID="{5032A823-CAD9-47B2-A340-111AE4F17192}">
  <ds:schemaRefs>
    <ds:schemaRef ds:uri="http://gemini/pivotcustomization/TableXML_Prioridades PA PI ugrhis PDC - fehidro-8bbe0e85-8e22-45bb-aac8-0926be563544"/>
  </ds:schemaRefs>
</ds:datastoreItem>
</file>

<file path=customXml/itemProps12.xml><?xml version="1.0" encoding="utf-8"?>
<ds:datastoreItem xmlns:ds="http://schemas.openxmlformats.org/officeDocument/2006/customXml" ds:itemID="{39559C17-A5A1-481B-8183-3D088150724D}">
  <ds:schemaRefs>
    <ds:schemaRef ds:uri="http://gemini/pivotcustomization/TableXML_empreend_Fehidro"/>
  </ds:schemaRefs>
</ds:datastoreItem>
</file>

<file path=customXml/itemProps13.xml><?xml version="1.0" encoding="utf-8"?>
<ds:datastoreItem xmlns:ds="http://schemas.openxmlformats.org/officeDocument/2006/customXml" ds:itemID="{D4326363-DD6A-42AF-A41B-3D8414E240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526100-92ac-402b-9d09-4947c0e8c214"/>
    <ds:schemaRef ds:uri="f4b97729-89ff-4087-8aa8-d163192c6d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4.xml><?xml version="1.0" encoding="utf-8"?>
<ds:datastoreItem xmlns:ds="http://schemas.openxmlformats.org/officeDocument/2006/customXml" ds:itemID="{E76E1F06-22DE-43F0-B32B-748DE7C6D70F}">
  <ds:schemaRefs>
    <ds:schemaRef ds:uri="http://gemini/pivotcustomization/TableXML_Prioridades PA PI ugrhis PDC - fehidro-8bbe0e85-8e22-45bb-aac8-0926be563544"/>
  </ds:schemaRefs>
</ds:datastoreItem>
</file>

<file path=customXml/itemProps15.xml><?xml version="1.0" encoding="utf-8"?>
<ds:datastoreItem xmlns:ds="http://schemas.openxmlformats.org/officeDocument/2006/customXml" ds:itemID="{9D256EC7-E082-4CB1-BC32-9000BCEBEEDA}">
  <ds:schemaRefs>
    <ds:schemaRef ds:uri="http://www.w3.org/XML/1998/namespace"/>
    <ds:schemaRef ds:uri="http://purl.org/dc/elements/1.1/"/>
    <ds:schemaRef ds:uri="http://schemas.microsoft.com/office/2006/documentManagement/types"/>
    <ds:schemaRef ds:uri="http://purl.org/dc/dcmitype/"/>
    <ds:schemaRef ds:uri="http://schemas.openxmlformats.org/package/2006/metadata/core-properties"/>
    <ds:schemaRef ds:uri="9c526100-92ac-402b-9d09-4947c0e8c214"/>
    <ds:schemaRef ds:uri="http://schemas.microsoft.com/office/2006/metadata/properties"/>
    <ds:schemaRef ds:uri="http://schemas.microsoft.com/office/infopath/2007/PartnerControls"/>
    <ds:schemaRef ds:uri="f4b97729-89ff-4087-8aa8-d163192c6d6b"/>
    <ds:schemaRef ds:uri="http://purl.org/dc/terms/"/>
  </ds:schemaRefs>
</ds:datastoreItem>
</file>

<file path=customXml/itemProps16.xml><?xml version="1.0" encoding="utf-8"?>
<ds:datastoreItem xmlns:ds="http://schemas.openxmlformats.org/officeDocument/2006/customXml" ds:itemID="{BC27371C-6D57-4A7C-86DE-141451F7582C}">
  <ds:schemaRefs>
    <ds:schemaRef ds:uri="http://gemini/pivotcustomization/TableWidget"/>
  </ds:schemaRefs>
</ds:datastoreItem>
</file>

<file path=customXml/itemProps17.xml><?xml version="1.0" encoding="utf-8"?>
<ds:datastoreItem xmlns:ds="http://schemas.openxmlformats.org/officeDocument/2006/customXml" ds:itemID="{5D084A19-8E1B-4AA9-AF08-101E15047BEB}">
  <ds:schemaRefs>
    <ds:schemaRef ds:uri="http://gemini/pivotcustomization/TableXML_Prioridades PA PI ugrhis PDC - fehidro-8bbe0e85-8e22-45bb-aac8-0926be563544"/>
  </ds:schemaRefs>
</ds:datastoreItem>
</file>

<file path=customXml/itemProps18.xml><?xml version="1.0" encoding="utf-8"?>
<ds:datastoreItem xmlns:ds="http://schemas.openxmlformats.org/officeDocument/2006/customXml" ds:itemID="{47A28FE9-E3BD-41D9-8D38-B2095BCD263B}">
  <ds:schemaRefs>
    <ds:schemaRef ds:uri="http://gemini/pivotcustomization/TableXML_Prioridades PA PI ugrhis PDC - fehidro-8bbe0e85-8e22-45bb-aac8-0926be563544"/>
  </ds:schemaRefs>
</ds:datastoreItem>
</file>

<file path=customXml/itemProps19.xml><?xml version="1.0" encoding="utf-8"?>
<ds:datastoreItem xmlns:ds="http://schemas.openxmlformats.org/officeDocument/2006/customXml" ds:itemID="{FE85F8BC-7EBB-4761-8C1B-5899488D2B2D}">
  <ds:schemaRefs>
    <ds:schemaRef ds:uri="http://gemini/pivotcustomization/Diagrams"/>
  </ds:schemaRefs>
</ds:datastoreItem>
</file>

<file path=customXml/itemProps20.xml><?xml version="1.0" encoding="utf-8"?>
<ds:datastoreItem xmlns:ds="http://schemas.openxmlformats.org/officeDocument/2006/customXml" ds:itemID="{CCAADB29-A42A-41A5-B931-4E51C3770145}">
  <ds:schemaRefs>
    <ds:schemaRef ds:uri="http://gemini/pivotcustomization/TableXML_Prioridades PA PI ugrhis PDC - fehidro-8bbe0e85-8e22-45bb-aac8-0926be563544"/>
  </ds:schemaRefs>
</ds:datastoreItem>
</file>

<file path=customXml/itemProps21.xml><?xml version="1.0" encoding="utf-8"?>
<ds:datastoreItem xmlns:ds="http://schemas.openxmlformats.org/officeDocument/2006/customXml" ds:itemID="{789ACEA9-AE76-422A-BEA0-082693B91A4E}">
  <ds:schemaRefs>
    <ds:schemaRef ds:uri="http://gemini/pivotcustomization/TableXML_Prioridades PA PI ugrhis PDC - fehidro-8bbe0e85-8e22-45bb-aac8-0926be563544"/>
  </ds:schemaRefs>
</ds:datastoreItem>
</file>

<file path=customXml/itemProps22.xml><?xml version="1.0" encoding="utf-8"?>
<ds:datastoreItem xmlns:ds="http://schemas.openxmlformats.org/officeDocument/2006/customXml" ds:itemID="{02276693-B22D-47B2-88B5-6A28790A3B63}">
  <ds:schemaRefs>
    <ds:schemaRef ds:uri="http://gemini/pivotcustomization/ShowHidden"/>
  </ds:schemaRefs>
</ds:datastoreItem>
</file>

<file path=customXml/itemProps23.xml><?xml version="1.0" encoding="utf-8"?>
<ds:datastoreItem xmlns:ds="http://schemas.openxmlformats.org/officeDocument/2006/customXml" ds:itemID="{D5836840-822E-47C2-8AD4-C6049E331196}">
  <ds:schemaRefs>
    <ds:schemaRef ds:uri="http://gemini/pivotcustomization/LinkedTableUpdateMode"/>
  </ds:schemaRefs>
</ds:datastoreItem>
</file>

<file path=customXml/itemProps24.xml><?xml version="1.0" encoding="utf-8"?>
<ds:datastoreItem xmlns:ds="http://schemas.openxmlformats.org/officeDocument/2006/customXml" ds:itemID="{2A357D09-37F1-47F8-BBCE-F7269035BB51}">
  <ds:schemaRefs>
    <ds:schemaRef ds:uri="http://schemas.microsoft.com/sharepoint/v3/contenttype/forms"/>
  </ds:schemaRefs>
</ds:datastoreItem>
</file>

<file path=customXml/itemProps25.xml><?xml version="1.0" encoding="utf-8"?>
<ds:datastoreItem xmlns:ds="http://schemas.openxmlformats.org/officeDocument/2006/customXml" ds:itemID="{B97C9F21-4D41-4458-97DC-D30FD0740C67}">
  <ds:schemaRefs>
    <ds:schemaRef ds:uri="http://gemini/pivotcustomization/FormulaBarState"/>
  </ds:schemaRefs>
</ds:datastoreItem>
</file>

<file path=customXml/itemProps26.xml><?xml version="1.0" encoding="utf-8"?>
<ds:datastoreItem xmlns:ds="http://schemas.openxmlformats.org/officeDocument/2006/customXml" ds:itemID="{F376A51E-624B-4BEE-9F4C-6B3CB0E3FBD9}">
  <ds:schemaRefs>
    <ds:schemaRef ds:uri="http://gemini/pivotcustomization/TableXML_Prioridades PA PI ugrhis PDC - fehidro-8bbe0e85-8e22-45bb-aac8-0926be563544"/>
  </ds:schemaRefs>
</ds:datastoreItem>
</file>

<file path=customXml/itemProps27.xml><?xml version="1.0" encoding="utf-8"?>
<ds:datastoreItem xmlns:ds="http://schemas.openxmlformats.org/officeDocument/2006/customXml" ds:itemID="{99C5FCF6-7C90-466F-A3EA-6526CA18265E}">
  <ds:schemaRefs>
    <ds:schemaRef ds:uri="http://gemini/pivotcustomization/ManualCalcMode"/>
  </ds:schemaRefs>
</ds:datastoreItem>
</file>

<file path=customXml/itemProps28.xml><?xml version="1.0" encoding="utf-8"?>
<ds:datastoreItem xmlns:ds="http://schemas.openxmlformats.org/officeDocument/2006/customXml" ds:itemID="{D06BCE57-2181-4A26-BA22-439C428625A9}">
  <ds:schemaRefs>
    <ds:schemaRef ds:uri="http://gemini/pivotcustomization/TableXML_Prioridades PA PI ugrhis PDC - fehidro-8bbe0e85-8e22-45bb-aac8-0926be563544"/>
  </ds:schemaRefs>
</ds:datastoreItem>
</file>

<file path=customXml/itemProps29.xml><?xml version="1.0" encoding="utf-8"?>
<ds:datastoreItem xmlns:ds="http://schemas.openxmlformats.org/officeDocument/2006/customXml" ds:itemID="{E7037341-1790-4E19-A4BF-CA14D19D70E2}">
  <ds:schemaRefs>
    <ds:schemaRef ds:uri="http://gemini/pivotcustomization/TableOrder"/>
  </ds:schemaRefs>
</ds:datastoreItem>
</file>

<file path=customXml/itemProps30.xml><?xml version="1.0" encoding="utf-8"?>
<ds:datastoreItem xmlns:ds="http://schemas.openxmlformats.org/officeDocument/2006/customXml" ds:itemID="{05FD67E2-ED1C-4068-B098-0800F638A0A2}">
  <ds:schemaRefs>
    <ds:schemaRef ds:uri="http://gemini/pivotcustomization/TableXML_DIM_SUBPDC"/>
  </ds:schemaRefs>
</ds:datastoreItem>
</file>

<file path=customXml/itemProps31.xml><?xml version="1.0" encoding="utf-8"?>
<ds:datastoreItem xmlns:ds="http://schemas.openxmlformats.org/officeDocument/2006/customXml" ds:itemID="{2C7A7F9D-EF3F-414D-8945-6E7C70772513}">
  <ds:schemaRefs>
    <ds:schemaRef ds:uri="http://gemini/pivotcustomization/5f8f1b09-c2c9-44aa-aa9b-a7d80e7d83df"/>
  </ds:schemaRefs>
</ds:datastoreItem>
</file>

<file path=customXml/itemProps32.xml><?xml version="1.0" encoding="utf-8"?>
<ds:datastoreItem xmlns:ds="http://schemas.openxmlformats.org/officeDocument/2006/customXml" ds:itemID="{2CB45980-DDC9-4B12-A66C-FE83CC5C17E9}">
  <ds:schemaRefs>
    <ds:schemaRef ds:uri="http://schemas.microsoft.com/DataMashup"/>
  </ds:schemaRefs>
</ds:datastoreItem>
</file>

<file path=customXml/itemProps33.xml><?xml version="1.0" encoding="utf-8"?>
<ds:datastoreItem xmlns:ds="http://schemas.openxmlformats.org/officeDocument/2006/customXml" ds:itemID="{96BB1350-7ECD-4723-94BB-5A2D1650D99F}">
  <ds:schemaRefs/>
</ds:datastoreItem>
</file>

<file path=customXml/itemProps34.xml><?xml version="1.0" encoding="utf-8"?>
<ds:datastoreItem xmlns:ds="http://schemas.openxmlformats.org/officeDocument/2006/customXml" ds:itemID="{255A6F1E-AA4B-4848-9A9D-6C5677C9564C}">
  <ds:schemaRefs/>
</ds:datastoreItem>
</file>

<file path=customXml/itemProps35.xml><?xml version="1.0" encoding="utf-8"?>
<ds:datastoreItem xmlns:ds="http://schemas.openxmlformats.org/officeDocument/2006/customXml" ds:itemID="{5DE45074-63D3-4BCE-9250-C903AE45F999}">
  <ds:schemaRefs/>
</ds:datastoreItem>
</file>

<file path=customXml/itemProps36.xml><?xml version="1.0" encoding="utf-8"?>
<ds:datastoreItem xmlns:ds="http://schemas.openxmlformats.org/officeDocument/2006/customXml" ds:itemID="{2D861AED-F3AD-4A0E-A6EF-5D623B20187A}">
  <ds:schemaRefs/>
</ds:datastoreItem>
</file>

<file path=customXml/itemProps37.xml><?xml version="1.0" encoding="utf-8"?>
<ds:datastoreItem xmlns:ds="http://schemas.openxmlformats.org/officeDocument/2006/customXml" ds:itemID="{D3D6A454-7A51-472F-A5AB-29E02350FA8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2</vt:i4>
      </vt:variant>
    </vt:vector>
  </HeadingPairs>
  <TitlesOfParts>
    <vt:vector size="12" baseType="lpstr">
      <vt:lpstr>Potencial Arrecadação Cobrança</vt:lpstr>
      <vt:lpstr>Utilização R$ FEHIDRO</vt:lpstr>
      <vt:lpstr>Capacitação</vt:lpstr>
      <vt:lpstr>Gestão</vt:lpstr>
      <vt:lpstr>Transparência SIGRH</vt:lpstr>
      <vt:lpstr>Rateio</vt:lpstr>
      <vt:lpstr>empreend 2019_2020</vt:lpstr>
      <vt:lpstr>PAPI</vt:lpstr>
      <vt:lpstr>Info- DOF - cfurh_cob - </vt:lpstr>
      <vt:lpstr>listasuspensa</vt:lpstr>
      <vt:lpstr>Rateio!Area_de_impressao</vt:lpstr>
      <vt:lpstr>Rateio!Titulos_de_impressao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Miramar de Souza Almeida</dc:creator>
  <cp:keywords/>
  <dc:description/>
  <cp:lastModifiedBy>Bruno F. de Souza</cp:lastModifiedBy>
  <cp:revision/>
  <dcterms:created xsi:type="dcterms:W3CDTF">2019-06-07T11:53:46Z</dcterms:created>
  <dcterms:modified xsi:type="dcterms:W3CDTF">2021-02-19T12:20:12Z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0x010100BC9FF30929C8E04FBC196FD8B500633E</vt:lpwstr>
  </property>
</Properties>
</file>