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ciasmt-my.sharepoint.com/personal/tecnico_agenciasmt_com_br/Documents/1-Diretoria FABH-SMT/Plano de Aplicação/2024/"/>
    </mc:Choice>
  </mc:AlternateContent>
  <xr:revisionPtr revIDLastSave="269" documentId="8_{E99F8ED1-DB9F-49F0-B137-D7DC1830FC13}" xr6:coauthVersionLast="47" xr6:coauthVersionMax="47" xr10:uidLastSave="{A51CA169-4458-4D05-A02D-C0997122A065}"/>
  <bookViews>
    <workbookView xWindow="20820" yWindow="0" windowWidth="20220" windowHeight="10905" tabRatio="630" firstSheet="1" activeTab="3" xr2:uid="{00000000-000D-0000-FFFF-FFFF00000000}"/>
  </bookViews>
  <sheets>
    <sheet name="Relatório Arrecadação 2023" sheetId="11" r:id="rId1"/>
    <sheet name="Plano de Aplicação" sheetId="8" r:id="rId2"/>
    <sheet name="Plano de Custeio " sheetId="10" r:id="rId3"/>
    <sheet name="Memória de cálculo Invest " sheetId="9" r:id="rId4"/>
  </sheets>
  <definedNames>
    <definedName name="_xlnm._FilterDatabase" localSheetId="3" hidden="1">'Memória de cálculo Invest '!$A$15:$K$69</definedName>
    <definedName name="_xlnm.Print_Area" localSheetId="2">'Plano de Custeio '!$A$1:$C$51</definedName>
    <definedName name="_xlnm.Print_Titles" localSheetId="3">'Memória de cálculo Invest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8" l="1"/>
  <c r="J32" i="9"/>
  <c r="J21" i="9"/>
  <c r="J42" i="9"/>
  <c r="M57" i="11"/>
  <c r="L57" i="11"/>
  <c r="K57" i="11"/>
  <c r="J57" i="11"/>
  <c r="I57" i="11"/>
  <c r="H57" i="11"/>
  <c r="G57" i="11"/>
  <c r="F57" i="11"/>
  <c r="E57" i="11"/>
  <c r="D57" i="11"/>
  <c r="C57" i="11"/>
  <c r="B57" i="11"/>
  <c r="N57" i="11" s="1"/>
  <c r="N56" i="11"/>
  <c r="N55" i="11"/>
  <c r="N54" i="11"/>
  <c r="N53" i="11"/>
  <c r="N52" i="11"/>
  <c r="N51" i="11"/>
  <c r="N50" i="11"/>
  <c r="N49" i="11"/>
  <c r="N48" i="11"/>
  <c r="B38" i="8" s="1"/>
  <c r="N47" i="11"/>
  <c r="N46" i="11"/>
  <c r="N45" i="11"/>
  <c r="N44" i="11"/>
  <c r="N43" i="11"/>
  <c r="N42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N40" i="11" s="1"/>
  <c r="N39" i="11"/>
  <c r="N38" i="11"/>
  <c r="N37" i="11"/>
  <c r="N36" i="11"/>
  <c r="N35" i="11"/>
  <c r="N34" i="11"/>
  <c r="N33" i="11"/>
  <c r="N32" i="11"/>
  <c r="N31" i="11"/>
  <c r="N30" i="11"/>
  <c r="N29" i="11"/>
  <c r="N22" i="11"/>
  <c r="N21" i="11"/>
  <c r="N20" i="11"/>
  <c r="N19" i="11"/>
  <c r="N18" i="11"/>
  <c r="N17" i="11"/>
  <c r="N16" i="11"/>
  <c r="B15" i="8" s="1"/>
  <c r="N15" i="11"/>
  <c r="N14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3" i="11" s="1"/>
  <c r="N11" i="11"/>
  <c r="N10" i="11"/>
  <c r="N9" i="11"/>
  <c r="N8" i="11"/>
  <c r="B11" i="8" s="1"/>
  <c r="N7" i="11"/>
  <c r="B28" i="8" s="1"/>
  <c r="N6" i="11"/>
  <c r="N5" i="11"/>
  <c r="M4" i="11"/>
  <c r="L4" i="11"/>
  <c r="K4" i="11"/>
  <c r="J4" i="11"/>
  <c r="I4" i="11"/>
  <c r="H4" i="11"/>
  <c r="G4" i="11"/>
  <c r="F4" i="11"/>
  <c r="E4" i="11"/>
  <c r="D4" i="11"/>
  <c r="C4" i="11"/>
  <c r="B4" i="11"/>
  <c r="B22" i="8"/>
  <c r="B21" i="8"/>
  <c r="B20" i="8"/>
  <c r="B19" i="8"/>
  <c r="B48" i="10"/>
  <c r="B46" i="10"/>
  <c r="B35" i="10"/>
  <c r="B26" i="10"/>
  <c r="B18" i="10"/>
  <c r="B9" i="10"/>
  <c r="J33" i="9"/>
  <c r="J27" i="9"/>
  <c r="J17" i="9"/>
  <c r="J18" i="9"/>
  <c r="J19" i="9"/>
  <c r="J20" i="9"/>
  <c r="J22" i="9"/>
  <c r="J23" i="9"/>
  <c r="J24" i="9"/>
  <c r="J25" i="9"/>
  <c r="J26" i="9"/>
  <c r="J28" i="9"/>
  <c r="J29" i="9"/>
  <c r="J30" i="9"/>
  <c r="J31" i="9"/>
  <c r="J16" i="9"/>
  <c r="G34" i="9"/>
  <c r="J34" i="9" s="1"/>
  <c r="K66" i="9"/>
  <c r="K67" i="9"/>
  <c r="G64" i="9"/>
  <c r="K64" i="9" s="1"/>
  <c r="G65" i="9"/>
  <c r="K65" i="9" s="1"/>
  <c r="K57" i="9"/>
  <c r="G58" i="9"/>
  <c r="K58" i="9" s="1"/>
  <c r="G59" i="9"/>
  <c r="K59" i="9" s="1"/>
  <c r="G60" i="9"/>
  <c r="K60" i="9" s="1"/>
  <c r="G61" i="9"/>
  <c r="K61" i="9" s="1"/>
  <c r="G62" i="9"/>
  <c r="K62" i="9" s="1"/>
  <c r="K63" i="9"/>
  <c r="G56" i="9"/>
  <c r="K56" i="9" s="1"/>
  <c r="G49" i="9"/>
  <c r="K49" i="9" s="1"/>
  <c r="G50" i="9"/>
  <c r="K50" i="9" s="1"/>
  <c r="G51" i="9"/>
  <c r="K51" i="9" s="1"/>
  <c r="G52" i="9"/>
  <c r="K52" i="9" s="1"/>
  <c r="K53" i="9"/>
  <c r="G54" i="9"/>
  <c r="K54" i="9" s="1"/>
  <c r="G39" i="9"/>
  <c r="G40" i="9"/>
  <c r="J41" i="9"/>
  <c r="G43" i="9"/>
  <c r="G44" i="9"/>
  <c r="G45" i="9"/>
  <c r="G46" i="9"/>
  <c r="G47" i="9"/>
  <c r="K47" i="9" s="1"/>
  <c r="G48" i="9"/>
  <c r="K48" i="9" s="1"/>
  <c r="G38" i="9"/>
  <c r="G36" i="9"/>
  <c r="J36" i="9" s="1"/>
  <c r="G35" i="9"/>
  <c r="J35" i="9" s="1"/>
  <c r="C64" i="8"/>
  <c r="C13" i="8"/>
  <c r="C9" i="8"/>
  <c r="C62" i="8"/>
  <c r="B29" i="8"/>
  <c r="C26" i="8"/>
  <c r="B34" i="8"/>
  <c r="C31" i="8"/>
  <c r="B49" i="8"/>
  <c r="C46" i="8"/>
  <c r="B39" i="8"/>
  <c r="C36" i="8"/>
  <c r="C18" i="8"/>
  <c r="C58" i="8"/>
  <c r="D58" i="8"/>
  <c r="C8" i="8"/>
  <c r="B53" i="8"/>
  <c r="B43" i="8" l="1"/>
  <c r="B44" i="8" s="1"/>
  <c r="C41" i="8" s="1"/>
  <c r="C25" i="8" s="1"/>
  <c r="B54" i="8" s="1"/>
  <c r="C52" i="8" s="1"/>
  <c r="C72" i="8" s="1"/>
  <c r="B24" i="11"/>
  <c r="C2" i="11" s="1"/>
  <c r="C24" i="11" s="1"/>
  <c r="D2" i="11" s="1"/>
  <c r="D24" i="11" s="1"/>
  <c r="E2" i="11" s="1"/>
  <c r="E24" i="11" s="1"/>
  <c r="F2" i="11" s="1"/>
  <c r="F24" i="11" s="1"/>
  <c r="G2" i="11" s="1"/>
  <c r="G24" i="11" s="1"/>
  <c r="H2" i="11" s="1"/>
  <c r="H24" i="11" s="1"/>
  <c r="I2" i="11" s="1"/>
  <c r="I24" i="11" s="1"/>
  <c r="J2" i="11" s="1"/>
  <c r="J24" i="11" s="1"/>
  <c r="K2" i="11" s="1"/>
  <c r="K24" i="11" s="1"/>
  <c r="L2" i="11" s="1"/>
  <c r="L24" i="11" s="1"/>
  <c r="M2" i="11" s="1"/>
  <c r="M24" i="11" s="1"/>
  <c r="N4" i="11"/>
  <c r="B27" i="10"/>
  <c r="B53" i="10"/>
  <c r="J68" i="9"/>
  <c r="K68" i="9"/>
  <c r="B54" i="10" l="1"/>
  <c r="C27" i="10"/>
  <c r="J69" i="9"/>
  <c r="B70" i="8" s="1"/>
  <c r="C68" i="8" s="1"/>
  <c r="C73" i="8" s="1"/>
  <c r="C52" i="10" l="1"/>
  <c r="C51" i="10"/>
  <c r="C50" i="10"/>
  <c r="C49" i="10"/>
  <c r="C47" i="10"/>
  <c r="C45" i="10"/>
  <c r="C44" i="10"/>
  <c r="C43" i="10"/>
  <c r="C42" i="10"/>
  <c r="C41" i="10"/>
  <c r="C40" i="10"/>
  <c r="C39" i="10"/>
  <c r="C38" i="10"/>
  <c r="C37" i="10"/>
  <c r="C34" i="10"/>
  <c r="C33" i="10"/>
  <c r="C32" i="10"/>
  <c r="C31" i="10"/>
  <c r="C30" i="10"/>
  <c r="C29" i="10"/>
  <c r="C25" i="10"/>
  <c r="C24" i="10"/>
  <c r="C23" i="10"/>
  <c r="C22" i="10"/>
  <c r="C21" i="10"/>
  <c r="C20" i="10"/>
  <c r="C17" i="10"/>
  <c r="C16" i="10"/>
  <c r="C15" i="10"/>
  <c r="C14" i="10"/>
  <c r="C13" i="10"/>
  <c r="C12" i="10"/>
  <c r="C8" i="10"/>
  <c r="C7" i="10"/>
  <c r="C6" i="10"/>
  <c r="C9" i="10"/>
  <c r="C18" i="10"/>
  <c r="C26" i="10"/>
  <c r="C35" i="10"/>
  <c r="C46" i="10"/>
  <c r="C48" i="10"/>
  <c r="C5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Miramar de Souza Almeida</author>
  </authors>
  <commentList>
    <comment ref="B70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Caso o resultado dos empreendimentos no anexo III seja negativo, insira o número com sinal de subtração.</t>
        </r>
      </text>
    </comment>
    <comment ref="C7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Recurso de custeio transferido para investimento.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tc={7496672A-8EC5-4FEE-90F2-9DAB4578DB8B}</author>
    <author>tc={25754303-8310-4346-BDB0-1DAA5854CD50}</author>
  </authors>
  <commentList>
    <comment ref="A22" authorId="0" shapeId="0" xr:uid="{7496672A-8EC5-4FEE-90F2-9DAB4578DB8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Serviço Técnico Especializado/Apoio Operacional</t>
      </text>
    </comment>
    <comment ref="A29" authorId="1" shapeId="0" xr:uid="{25754303-8310-4346-BDB0-1DAA5854CD5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DOE, cartório e telefone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tc={F2D2A2F8-0A85-4741-AA11-EDC565BEA69F}</author>
  </authors>
  <commentList>
    <comment ref="E27" authorId="0" shapeId="0" xr:uid="{F2D2A2F8-0A85-4741-AA11-EDC565BEA69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estava no plano de aplicação de 2023</t>
      </text>
    </comment>
  </commentList>
</comments>
</file>

<file path=xl/sharedStrings.xml><?xml version="1.0" encoding="utf-8"?>
<sst xmlns="http://schemas.openxmlformats.org/spreadsheetml/2006/main" count="543" uniqueCount="294">
  <si>
    <t xml:space="preserve">FEHIDRO COBRANÇA CBH SMT - RESUMO DA MOVIMENTAÇÃO </t>
  </si>
  <si>
    <t>TOTAL</t>
  </si>
  <si>
    <t>SALDO ANTERIOR</t>
  </si>
  <si>
    <t>Crédito</t>
  </si>
  <si>
    <t>( + ) Ret. Oper. Não Reembolsáveis</t>
  </si>
  <si>
    <t>( + ) Ret. Oper. Reembolsáveis</t>
  </si>
  <si>
    <t>( + ) Rendimento de Aplicação Financeiras</t>
  </si>
  <si>
    <t>( + ) Crédito de Arrecadação (boletos)</t>
  </si>
  <si>
    <t>( + ) Crédito de Arrecadação (depósitos)</t>
  </si>
  <si>
    <t>( + ) Transferência entre Bacias</t>
  </si>
  <si>
    <t>( + ) Ajuste em Conta Corrente</t>
  </si>
  <si>
    <t>Débito</t>
  </si>
  <si>
    <t>( + ) Lib. Op. Não Reembolsável</t>
  </si>
  <si>
    <t>( + ) Taxa de Liberação</t>
  </si>
  <si>
    <t>( + ) Custeio</t>
  </si>
  <si>
    <t>( + ) Taxa de Administração</t>
  </si>
  <si>
    <t>( + ) Repasse Arrecadação Cobrança</t>
  </si>
  <si>
    <t>( + ) Taxa de Estudos</t>
  </si>
  <si>
    <t>( + ) Tarifas Bancárias</t>
  </si>
  <si>
    <t>( + ) Dev. Valor Pago a Maior Cobrança</t>
  </si>
  <si>
    <t>( + ) Acerto AF - Débito</t>
  </si>
  <si>
    <t>Saldo Final</t>
  </si>
  <si>
    <t>Lançamentos à Débito</t>
  </si>
  <si>
    <t>( - ) CDRS - Coordenadoria de desenvolvimento Rural Suntentável</t>
  </si>
  <si>
    <t>( - ) CEA - Coordenadoria de Educação Ambiental</t>
  </si>
  <si>
    <t>( - ) CETESB - COMPANHIA AMBIENTAL DO ESTADO DE SAO PAULO</t>
  </si>
  <si>
    <t>( - ) CFB - Coordenadoria de Fiscalização e Biodiversidade</t>
  </si>
  <si>
    <t>( - ) DAEE DEPARTAMENTO DE ÁGUAS E ENERGIA ELÉTRICA</t>
  </si>
  <si>
    <t>( - ) DESENVOLVE SP - AGENCIA DE FOMENTO DO ESTADO DE S. PAULO</t>
  </si>
  <si>
    <t>( - ) Inst. de Pesquisas Tecnológicas do Estado de S. Paulo SA IPT</t>
  </si>
  <si>
    <t>( - ) IPA - INSTITUTO DE PESQUISAS AMBIENTAIS</t>
  </si>
  <si>
    <t>( - ) FF - Fundação para a Conservação e a Produção Florestal do Estado de São Paulo</t>
  </si>
  <si>
    <t>( - ) CPLA - COORDENADORIA DE PLANEJAMENTO AMBIENTAL</t>
  </si>
  <si>
    <t>( - ) CRHi - COORDENADORIA DE RECURSOS HIDRICOS</t>
  </si>
  <si>
    <t>( - ) CATI-CDRS - Coordenadoria de desenvolvimento Rural Suntentável</t>
  </si>
  <si>
    <t>( - ) COBRAPE - CIA. BRASILEIRA DE PROJETOS E EMPREENDIMENTOS</t>
  </si>
  <si>
    <t>( - ) MMP - CONSULTORIA E GERENCIAMENTO DE EMPREENDIMENTOS IMOBILI</t>
  </si>
  <si>
    <t>( - ) LBR ENGENHARIA E CONSULTORIA LTDA</t>
  </si>
  <si>
    <t xml:space="preserve">DELIBERAÇÃO CBH Nº      , DE            </t>
  </si>
  <si>
    <t>ANEXO I - PLANO DE APLICAÇÃO DE RECURSOS DA COBRANÇA PARA (ANO)</t>
  </si>
  <si>
    <t>Decreto estadual nº 50.667, de 30 de março de 2006</t>
  </si>
  <si>
    <t>1 RECEITA</t>
  </si>
  <si>
    <t>SUB-TOTAL</t>
  </si>
  <si>
    <t>%</t>
  </si>
  <si>
    <t>1.1 Previsão de Arrecadação no Exercício (ano vigente) - Programa 2625 - Ação 2468 - LOA</t>
  </si>
  <si>
    <t>2 AJUSTE DA RECEITA (ANO ANTERIOR)</t>
  </si>
  <si>
    <t>2.1 Ajuste da Arrecadação</t>
  </si>
  <si>
    <t>2.1.1 Previsão de arrecadação (ano anterior)</t>
  </si>
  <si>
    <t>2.1.2 Arrecadação (ano anterior)</t>
  </si>
  <si>
    <t>2.1.3 Restituição de valores cobrados pelo uso da água ao usuário</t>
  </si>
  <si>
    <t xml:space="preserve">2.2 Ajuste do Custeio </t>
  </si>
  <si>
    <t>2.2.1 Previsão de alocação para Custeio (ano anterior)</t>
  </si>
  <si>
    <t>2.2.2 Repasse efetivo para Custeio (ano anterior) (Somatória de "Resgate para transferência ao DAEE" + "Repasse sobre valores arrecadados")</t>
  </si>
  <si>
    <t>3 DESPESAS DE CUSTEIO (conforme Anexo II)</t>
  </si>
  <si>
    <t>3.1 Alocação da previsão de arrecadação (máximo de 10%)</t>
  </si>
  <si>
    <t xml:space="preserve">3.1.1 Custos Operacionais da Cobrança (Alinea "a", Inciso VI, Artigo 22) </t>
  </si>
  <si>
    <t>3.1.2 Atividades de Secretaria Executiva (Alinea "b", Inciso VI, Artigo 22)</t>
  </si>
  <si>
    <t>3.1.3 Outras Despesas de Custeio (Alinea "c", Inciso VI, Artigo 22)</t>
  </si>
  <si>
    <t xml:space="preserve">3.1.4 Pessoal </t>
  </si>
  <si>
    <t>3.1.5 Transferência para DAEE - ressarcimento de tarifas de cobrança</t>
  </si>
  <si>
    <t>4 AJUSTES DO EXERCÍCIO ANTERIOR E PREVISÕES PARA O EXERCÍCIO ATUAL</t>
  </si>
  <si>
    <t>4.1 Rendimentos</t>
  </si>
  <si>
    <t>4.1.1 Previsão de rendimentos (ano anterior)</t>
  </si>
  <si>
    <t>4.1.2 Rendimentos (ano anterior)</t>
  </si>
  <si>
    <t>4.1.3 Ajuste do exercício (ano anterior) (previsto x rendimentos)</t>
  </si>
  <si>
    <t>4.1.4 Previsão para o exercício de (ano vigente)</t>
  </si>
  <si>
    <t>4.2 Taxa de Administração do Agente Financeiro (Inc. V, Artigo 22)</t>
  </si>
  <si>
    <t>4.2.1 Previsão da Taxa de Administração (ano anterior)</t>
  </si>
  <si>
    <t>4.2.2 Desembolso efetuado (ano anterior)</t>
  </si>
  <si>
    <t>4.2.3 Ajuste da Taxa de Administração do Agente Financeiro (ano anterior)</t>
  </si>
  <si>
    <t>4.2.4 Provisão para taxa de Administração do Agente Financeiro (ano vigente)</t>
  </si>
  <si>
    <t>4.3 Taxa de Liberação do Agente Financeiro (Inc. V, Artigo 22)</t>
  </si>
  <si>
    <t>4.3.1 Previsão da Taxa de Liberação do Agente Financeiro (ano anterior)</t>
  </si>
  <si>
    <t>4.3.2 Desembolso efetuado (ano anterior)</t>
  </si>
  <si>
    <t>4.3.3 Ajuste da Taxa de Liberação do Agente Financeiro (ano anterior)</t>
  </si>
  <si>
    <t>4.3.4 Provisão para Taxa de Liberação do Agente Financeiro (ano vigente)</t>
  </si>
  <si>
    <t>4.4 Taxa de Liberação dos Agentes Técnicos (Inc. V, Artigo 22)</t>
  </si>
  <si>
    <t>4.4.1 Previsão da Taxa de Liberação dos Agentes Técnicos (ano anterior)</t>
  </si>
  <si>
    <t>4.4.2 Desembolso efetuado (ano anterior)</t>
  </si>
  <si>
    <t>4.4.3 Ajuste da Taxa de Liberação dos Agentes Técnicos (ano anterior)</t>
  </si>
  <si>
    <t>4.4.4 Provisão para Taxa de Liberação dos Agentes Técnicos (ano vigente)</t>
  </si>
  <si>
    <t>4.5 Taxa de Comissão de Estudos dos Agentes Técnicos (Inc. V, Artigo 22)</t>
  </si>
  <si>
    <t>4.5.1 Previsão da Taxa Comissão de Estudos dos Agentes Técnicos  (ano anterior)</t>
  </si>
  <si>
    <t>4.5.2 Desembolso efetuado (ano anterior)</t>
  </si>
  <si>
    <t>4.5.3 Ajuste da Taxa Comissão de Estudos dos Agentes Técnicos (ano anterior)</t>
  </si>
  <si>
    <t>4.5.4 Provisão para Taxa Comissão de Estudos dos Agentes Técnicos (ano vigente)</t>
  </si>
  <si>
    <t>5 APURAÇÃO PARCIAL DA DISPONIBILIDADE PARA INVESTIMENTO</t>
  </si>
  <si>
    <t>5.1 Ajuste da receita (transporte item 2)</t>
  </si>
  <si>
    <t>5.2 Total dos Ajustes e Previsões (transporte item 4)</t>
  </si>
  <si>
    <t>5.3 Recebimento da Transferência entre Bacias efetuada por outro(s) CBH(s)</t>
  </si>
  <si>
    <t>6 DESPESAS DE INVESTIMENTO</t>
  </si>
  <si>
    <t xml:space="preserve">6.1 Alocação da previsão de arrecadação para Investimento </t>
  </si>
  <si>
    <t>6.2 Empréstimos contratados (Inc. I, Artigo 22)</t>
  </si>
  <si>
    <t>6.3 Bases técnicas e instrum.da Política Est. de Rec. Hídricos (Inc. II, Artigo 22)</t>
  </si>
  <si>
    <t>6.4 Transferências entre Bacias (Inc. III, Artigo 22)</t>
  </si>
  <si>
    <t>6.5 Pagamentos (inc. IV, art. 22)</t>
  </si>
  <si>
    <t xml:space="preserve">6.5.1  Manutenção de sistemas de controle da cobrança </t>
  </si>
  <si>
    <t>6.6 Lançamentos a Crédito constantes no extrato bancário (ano anterior)</t>
  </si>
  <si>
    <t>6.6.1 Rendimentos repassados pelo Tomador</t>
  </si>
  <si>
    <t>6.6.2 Devolução de parcelas - contratos não reembolsáveis</t>
  </si>
  <si>
    <t>6.6.3 Pagamento de parcelas - contratos com retorno</t>
  </si>
  <si>
    <t>6.7 Ajuste do exercício (ano anterior)</t>
  </si>
  <si>
    <t>6.7.1 Valor disponibilizado no plano de aplicação da cobrança (ano anterior) para investimento</t>
  </si>
  <si>
    <t xml:space="preserve">6.7.2 Resultado da movimentação dos empreendimentos (transporte do resultado apurado no Anexo III - Memória de cálculo  de investimento - pela diferença entre disponibilidades e valores  comprometidos) </t>
  </si>
  <si>
    <t xml:space="preserve">6.8 Transferência de Recursos de Custeio </t>
  </si>
  <si>
    <r>
      <t xml:space="preserve">6.9 Apuração parcial da disponibilidade para investimento </t>
    </r>
    <r>
      <rPr>
        <sz val="9"/>
        <rFont val="Arial"/>
        <family val="2"/>
      </rPr>
      <t>(transporte item 5)</t>
    </r>
  </si>
  <si>
    <t>APURAÇÃO FINAL DA DISPONIBILIDADE PARA INVESTIMENTO</t>
  </si>
  <si>
    <t xml:space="preserve">DELIBERAÇÃO CBH Nº      , DE     </t>
  </si>
  <si>
    <t>ANEXO II - DESPESAS DE CUSTEIO PARA (ANO)</t>
  </si>
  <si>
    <t>NATUREZA DAS DESPESAS</t>
  </si>
  <si>
    <t>VALOR (R$)</t>
  </si>
  <si>
    <t>Custos Operacionais da Cobrança</t>
  </si>
  <si>
    <t>1. Tarifas/Taxas Bancárias</t>
  </si>
  <si>
    <t>2. Transferência para DAEE - ressarcimento de tarifas de cobrança</t>
  </si>
  <si>
    <t>3. Correio</t>
  </si>
  <si>
    <t>Atividades de Secretaria Executiva</t>
  </si>
  <si>
    <t>Material de Consumo</t>
  </si>
  <si>
    <t xml:space="preserve">1. Gêneros alimentícios </t>
  </si>
  <si>
    <t xml:space="preserve">2. Combustíveis e Lubrificantes </t>
  </si>
  <si>
    <t xml:space="preserve">3. Material, peças e acessórios </t>
  </si>
  <si>
    <t>4. Material para informática</t>
  </si>
  <si>
    <t xml:space="preserve">5. Material de escritório </t>
  </si>
  <si>
    <t>6. Outros materiais de consumo</t>
  </si>
  <si>
    <t xml:space="preserve">    SUB-TOTAL</t>
  </si>
  <si>
    <t xml:space="preserve">Serviços de Terceiros </t>
  </si>
  <si>
    <t xml:space="preserve">1. Assessoria e consultoria </t>
  </si>
  <si>
    <t>2 .Estagiário</t>
  </si>
  <si>
    <t>3. Outros serviços de terceiros (pessoa jurídica)</t>
  </si>
  <si>
    <t>4. Outros serviços de terceiros (pessoa fisica)</t>
  </si>
  <si>
    <t>5. Serviço Tecnico Especializado/Apoio Operacional</t>
  </si>
  <si>
    <t>6. Obrigações Tributárias e Contributivas</t>
  </si>
  <si>
    <t xml:space="preserve">SUB-TOTAL </t>
  </si>
  <si>
    <t>Outras Despesas de Custeio</t>
  </si>
  <si>
    <t>1. Telefone</t>
  </si>
  <si>
    <t>2 - Bens Patrimoniais</t>
  </si>
  <si>
    <t xml:space="preserve">3- Passagens e Despesas com Locomoção </t>
  </si>
  <si>
    <t>4 - Cartório</t>
  </si>
  <si>
    <t>5 - Publicação DOE</t>
  </si>
  <si>
    <t>3. Alimentação e Hospedagem</t>
  </si>
  <si>
    <t xml:space="preserve"> Pessoal </t>
  </si>
  <si>
    <t>1. Sálarios Líquidos</t>
  </si>
  <si>
    <t>2. Férias + 1/3 (líquido)</t>
  </si>
  <si>
    <t>3. 13º salário (líquido)</t>
  </si>
  <si>
    <t>4. Provisão rescisão contratual</t>
  </si>
  <si>
    <t>5. Vale transporte</t>
  </si>
  <si>
    <t>6. Imposto de renda</t>
  </si>
  <si>
    <t>7. INSS</t>
  </si>
  <si>
    <t>8. PIS</t>
  </si>
  <si>
    <t>9. FGTS</t>
  </si>
  <si>
    <t>10. Assistência médica</t>
  </si>
  <si>
    <t>11. Auxílio alimentação</t>
  </si>
  <si>
    <t>12. Seguro de vida</t>
  </si>
  <si>
    <t>13.Auxílio creche</t>
  </si>
  <si>
    <t>14. Contribuição sindical</t>
  </si>
  <si>
    <t>15. Treinamento/Cursos/Congressos</t>
  </si>
  <si>
    <t>16. Saúde ocupacional (segurança e medicina do trabalho)</t>
  </si>
  <si>
    <t>TOTAL:</t>
  </si>
  <si>
    <t>100.00%</t>
  </si>
  <si>
    <t xml:space="preserve">DELIBERAÇÃO CBH Nº          / </t>
  </si>
  <si>
    <r>
      <t xml:space="preserve">ANEXO III - MEMÓRIA DE CÁLCULO DE INVESTIMENTO </t>
    </r>
    <r>
      <rPr>
        <b/>
        <sz val="10"/>
        <color rgb="FFFF0000"/>
        <rFont val="Arial"/>
        <family val="2"/>
      </rPr>
      <t>(10/03/2023 a XX/XX/2024)</t>
    </r>
  </si>
  <si>
    <t>FÓRMULAS UTILIZADAS PARA CÁLCULO DOS RESÍDUOS E COMPROMETIDOS</t>
  </si>
  <si>
    <t>SITUAÇÃO</t>
  </si>
  <si>
    <t>Para empreendimentos com código SINFEHIDRO anteriores ao do Plano de Aplicação do (ano anterior)</t>
  </si>
  <si>
    <t xml:space="preserve">Lançar valor final na coluna </t>
  </si>
  <si>
    <t>Para empreendimentos com código SINFEHIDRO
do Plano de Aplicação do (ano anterior)</t>
  </si>
  <si>
    <t>Em análise</t>
  </si>
  <si>
    <t>-</t>
  </si>
  <si>
    <t>Valor da coluna (A)</t>
  </si>
  <si>
    <t>(F)</t>
  </si>
  <si>
    <t>Não Iniciado</t>
  </si>
  <si>
    <t>Valor da coluna (A)-(B)</t>
  </si>
  <si>
    <t>(E)</t>
  </si>
  <si>
    <t>Valor da coluna (B)</t>
  </si>
  <si>
    <t>Em Execução</t>
  </si>
  <si>
    <t>Concluído</t>
  </si>
  <si>
    <t>Valor da coluna (B)+(C)-(D)</t>
  </si>
  <si>
    <t>Cancelado</t>
  </si>
  <si>
    <t>Valor da coluna (A) ou (B)</t>
  </si>
  <si>
    <t>Nº SINFEHIDRO</t>
  </si>
  <si>
    <t>Nº Contrato</t>
  </si>
  <si>
    <t>Situação</t>
  </si>
  <si>
    <t>Data de assinatura</t>
  </si>
  <si>
    <t>Data de conclusão</t>
  </si>
  <si>
    <t>Valor pleiteado
(A)</t>
  </si>
  <si>
    <t>Valor aprovado
(B)</t>
  </si>
  <si>
    <t>Valor aditado
(C)</t>
  </si>
  <si>
    <t>Valor pago
(D)</t>
  </si>
  <si>
    <t>DISPONÍVEL
P/ UTILIZAÇÃO
(E)</t>
  </si>
  <si>
    <r>
      <rPr>
        <b/>
        <sz val="8"/>
        <rFont val="Arial"/>
        <family val="2"/>
      </rPr>
      <t>COMPROMETIDO</t>
    </r>
    <r>
      <rPr>
        <b/>
        <sz val="8.5"/>
        <rFont val="Arial"/>
        <family val="2"/>
      </rPr>
      <t xml:space="preserve">
</t>
    </r>
    <r>
      <rPr>
        <b/>
        <sz val="9"/>
        <rFont val="Arial"/>
        <family val="2"/>
      </rPr>
      <t>(F)</t>
    </r>
  </si>
  <si>
    <t>2013-SMT_COB-61</t>
  </si>
  <si>
    <t>293/2013</t>
  </si>
  <si>
    <t>2013-SMT_COB-78</t>
  </si>
  <si>
    <t>190/2014</t>
  </si>
  <si>
    <t>2014-SMT_COB-98</t>
  </si>
  <si>
    <t>339/2015</t>
  </si>
  <si>
    <t>2014-SMT_COB-103</t>
  </si>
  <si>
    <t>327/2015</t>
  </si>
  <si>
    <t>2015-SMT_COB-122</t>
  </si>
  <si>
    <t>061/2016</t>
  </si>
  <si>
    <t>2015-SMT_COB-134</t>
  </si>
  <si>
    <t>035/2016</t>
  </si>
  <si>
    <t>2015-SMT_COB-141</t>
  </si>
  <si>
    <t>051/2016</t>
  </si>
  <si>
    <t>2015-SMT_COB-146</t>
  </si>
  <si>
    <t>477/2015</t>
  </si>
  <si>
    <t>2015-SMT_COB-148</t>
  </si>
  <si>
    <t>033/2016</t>
  </si>
  <si>
    <t>2016-SMT_COB-172</t>
  </si>
  <si>
    <t>106/2017</t>
  </si>
  <si>
    <t>2018-SMT_COB-228</t>
  </si>
  <si>
    <t>064/2019</t>
  </si>
  <si>
    <t>2018-SMT_COB-238</t>
  </si>
  <si>
    <t>019/2019</t>
  </si>
  <si>
    <t>2018-SMT_COB-249</t>
  </si>
  <si>
    <t>021/2019</t>
  </si>
  <si>
    <t>2018-SMT_COB-255</t>
  </si>
  <si>
    <t>167/2019</t>
  </si>
  <si>
    <t>2019-SMT_COB-277</t>
  </si>
  <si>
    <t>327/2019</t>
  </si>
  <si>
    <t>2019-SMT_COB-281</t>
  </si>
  <si>
    <t>298/2019</t>
  </si>
  <si>
    <t>2019-SMT_COB-293</t>
  </si>
  <si>
    <t>277/2019</t>
  </si>
  <si>
    <t>2021-SMT_COB-322</t>
  </si>
  <si>
    <t>180/2022</t>
  </si>
  <si>
    <t>2021-SMT_COB-331</t>
  </si>
  <si>
    <t>269/2021</t>
  </si>
  <si>
    <t>2022-SMT_COB-339</t>
  </si>
  <si>
    <t>215/2023</t>
  </si>
  <si>
    <t>Não iniciado</t>
  </si>
  <si>
    <t>2022-SMT_COB-340</t>
  </si>
  <si>
    <t>132/2023</t>
  </si>
  <si>
    <t>2022-SMT_COB-341</t>
  </si>
  <si>
    <t>2022-SMT_COB-342</t>
  </si>
  <si>
    <t>237/2023</t>
  </si>
  <si>
    <t>2022-SMT_COB-343</t>
  </si>
  <si>
    <t>256/2023</t>
  </si>
  <si>
    <t>2022-SMT_COB-344</t>
  </si>
  <si>
    <t>091/2023</t>
  </si>
  <si>
    <t>2022-SMT_COB-345</t>
  </si>
  <si>
    <t>119/2023</t>
  </si>
  <si>
    <t>2022-SMT_COB-346</t>
  </si>
  <si>
    <t>095/2023</t>
  </si>
  <si>
    <t>2022-SMT_COB-347</t>
  </si>
  <si>
    <t>003/2023</t>
  </si>
  <si>
    <t>Em execução</t>
  </si>
  <si>
    <t>2022-SMT_COB-348</t>
  </si>
  <si>
    <t>085/2023</t>
  </si>
  <si>
    <t>2022-SMT_COB-349</t>
  </si>
  <si>
    <t>039/2023</t>
  </si>
  <si>
    <t>2022-SMT_COB-350</t>
  </si>
  <si>
    <t>061/2023</t>
  </si>
  <si>
    <t>2022-SMT_COB-351</t>
  </si>
  <si>
    <t>010/2023</t>
  </si>
  <si>
    <t>2022-SMT_COB-352</t>
  </si>
  <si>
    <t>158/2023</t>
  </si>
  <si>
    <t>2023-SMT_COB-353</t>
  </si>
  <si>
    <t>282/2023</t>
  </si>
  <si>
    <t>2023-SMT_COB-354</t>
  </si>
  <si>
    <t>338/2023</t>
  </si>
  <si>
    <t>2023-SMT_COB-355</t>
  </si>
  <si>
    <t>456/2023</t>
  </si>
  <si>
    <t>2023-SMT_COB-356</t>
  </si>
  <si>
    <t>281/2023</t>
  </si>
  <si>
    <t>2023-SMT_COB-357</t>
  </si>
  <si>
    <t>366/2023</t>
  </si>
  <si>
    <t>2023-SMT_COB-358</t>
  </si>
  <si>
    <t>310/2023</t>
  </si>
  <si>
    <t>2023-SMT_COB-359</t>
  </si>
  <si>
    <t>2023-SMT_COB-360</t>
  </si>
  <si>
    <t>353/2023</t>
  </si>
  <si>
    <t>2023-SMT_COB-361</t>
  </si>
  <si>
    <t>399/2023</t>
  </si>
  <si>
    <t>2023-SMT_COB-362</t>
  </si>
  <si>
    <t>400/2023</t>
  </si>
  <si>
    <t>2023-SMT_COB-363</t>
  </si>
  <si>
    <t>284/2023</t>
  </si>
  <si>
    <t>2023-SMT_COB-364</t>
  </si>
  <si>
    <t>376/2023</t>
  </si>
  <si>
    <t>2023-SMT_COB-365</t>
  </si>
  <si>
    <t>295/2023</t>
  </si>
  <si>
    <t>2023-SMT_COB-366</t>
  </si>
  <si>
    <t>533/2023</t>
  </si>
  <si>
    <t>2023-SMT_COB-367</t>
  </si>
  <si>
    <t>488/2023</t>
  </si>
  <si>
    <t>2023-SMT_COB-368</t>
  </si>
  <si>
    <t>427/2023</t>
  </si>
  <si>
    <t>2023-SMT_COB-369</t>
  </si>
  <si>
    <t>418/2023</t>
  </si>
  <si>
    <t>2023-SMT_COB-370</t>
  </si>
  <si>
    <t>2023-SMT_COB-371</t>
  </si>
  <si>
    <t>477/2023</t>
  </si>
  <si>
    <t>Resultado a transferir para o item 6.7.2 do Anexo I (manter sinal negativo para transporte caso o resultado seja negativo)</t>
  </si>
  <si>
    <t>a partir de 09/03/2023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</si>
</sst>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7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theme="9"/>
      <name val="Arial"/>
      <family val="2"/>
    </font>
    <font>
      <b/>
      <sz val="10"/>
      <color theme="6" tint="-0.499984740745262"/>
      <name val="Arial"/>
      <family val="2"/>
    </font>
    <font>
      <b/>
      <sz val="11"/>
      <color theme="1"/>
      <name val="Calibri"/>
      <family val="2"/>
      <scheme val="minor"/>
    </font>
    <font>
      <sz val="8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7">
    <xf numFmtId="0" fontId="0" fillId="0" borderId="0" xfId="0"/>
    <xf numFmtId="0" fontId="14" fillId="0" borderId="0" xfId="0" applyFont="1"/>
    <xf numFmtId="0" fontId="14" fillId="0" borderId="1" xfId="0" applyFont="1" applyBorder="1"/>
    <xf numFmtId="0" fontId="15" fillId="0" borderId="2" xfId="0" applyFont="1" applyBorder="1"/>
    <xf numFmtId="0" fontId="14" fillId="0" borderId="2" xfId="0" applyFont="1" applyBorder="1"/>
    <xf numFmtId="10" fontId="16" fillId="0" borderId="3" xfId="0" applyNumberFormat="1" applyFont="1" applyBorder="1" applyAlignment="1" applyProtection="1">
      <alignment vertical="center"/>
      <protection locked="0"/>
    </xf>
    <xf numFmtId="9" fontId="16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 applyProtection="1">
      <alignment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justify" wrapText="1"/>
    </xf>
    <xf numFmtId="0" fontId="14" fillId="0" borderId="13" xfId="0" applyFont="1" applyBorder="1" applyAlignment="1">
      <alignment horizontal="justify" vertical="justify" wrapText="1"/>
    </xf>
    <xf numFmtId="0" fontId="15" fillId="0" borderId="13" xfId="0" applyFont="1" applyBorder="1" applyAlignment="1">
      <alignment horizontal="justify" vertical="justify" wrapText="1"/>
    </xf>
    <xf numFmtId="0" fontId="15" fillId="4" borderId="13" xfId="0" applyFont="1" applyFill="1" applyBorder="1" applyAlignment="1">
      <alignment horizontal="center" vertical="justify" wrapText="1"/>
    </xf>
    <xf numFmtId="0" fontId="14" fillId="0" borderId="0" xfId="0" applyFont="1" applyAlignment="1">
      <alignment horizontal="justify" vertical="center"/>
    </xf>
    <xf numFmtId="4" fontId="3" fillId="0" borderId="11" xfId="0" applyNumberFormat="1" applyFont="1" applyBorder="1" applyAlignment="1" applyProtection="1">
      <alignment horizontal="justify" vertical="center"/>
      <protection locked="0"/>
    </xf>
    <xf numFmtId="4" fontId="3" fillId="0" borderId="4" xfId="0" applyNumberFormat="1" applyFont="1" applyBorder="1" applyAlignment="1" applyProtection="1">
      <alignment horizontal="justify" vertical="center"/>
      <protection locked="0"/>
    </xf>
    <xf numFmtId="164" fontId="4" fillId="0" borderId="4" xfId="4" applyFont="1" applyBorder="1" applyAlignment="1" applyProtection="1">
      <alignment horizontal="justify" vertical="center"/>
      <protection locked="0"/>
    </xf>
    <xf numFmtId="0" fontId="14" fillId="0" borderId="0" xfId="0" applyFont="1" applyAlignment="1">
      <alignment vertical="center"/>
    </xf>
    <xf numFmtId="164" fontId="3" fillId="0" borderId="5" xfId="0" applyNumberFormat="1" applyFont="1" applyBorder="1" applyAlignment="1" applyProtection="1">
      <alignment vertical="center"/>
      <protection locked="0"/>
    </xf>
    <xf numFmtId="4" fontId="4" fillId="0" borderId="6" xfId="0" applyNumberFormat="1" applyFont="1" applyBorder="1" applyAlignment="1" applyProtection="1">
      <alignment vertical="center"/>
      <protection locked="0"/>
    </xf>
    <xf numFmtId="164" fontId="4" fillId="0" borderId="6" xfId="4" applyFont="1" applyFill="1" applyBorder="1" applyAlignment="1" applyProtection="1">
      <alignment horizontal="right" vertical="center"/>
      <protection locked="0"/>
    </xf>
    <xf numFmtId="4" fontId="4" fillId="0" borderId="15" xfId="0" applyNumberFormat="1" applyFont="1" applyBorder="1" applyAlignment="1" applyProtection="1">
      <alignment horizontal="right" vertical="center"/>
      <protection locked="0"/>
    </xf>
    <xf numFmtId="0" fontId="3" fillId="4" borderId="9" xfId="0" applyFont="1" applyFill="1" applyBorder="1" applyAlignment="1" applyProtection="1">
      <alignment vertical="center"/>
      <protection locked="0"/>
    </xf>
    <xf numFmtId="0" fontId="3" fillId="4" borderId="9" xfId="2" applyFont="1" applyFill="1" applyBorder="1" applyAlignment="1" applyProtection="1">
      <alignment horizontal="center" vertical="center"/>
      <protection locked="0"/>
    </xf>
    <xf numFmtId="0" fontId="3" fillId="4" borderId="3" xfId="2" applyFont="1" applyFill="1" applyBorder="1" applyAlignment="1" applyProtection="1">
      <alignment horizontal="center" vertical="center"/>
      <protection locked="0"/>
    </xf>
    <xf numFmtId="0" fontId="2" fillId="4" borderId="3" xfId="2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4" fontId="3" fillId="5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4" fontId="4" fillId="0" borderId="16" xfId="0" applyNumberFormat="1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17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4" fontId="3" fillId="5" borderId="11" xfId="0" applyNumberFormat="1" applyFont="1" applyFill="1" applyBorder="1" applyAlignment="1" applyProtection="1">
      <alignment horizontal="center" vertical="center"/>
      <protection locked="0"/>
    </xf>
    <xf numFmtId="4" fontId="3" fillId="5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0" fontId="17" fillId="0" borderId="18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4" fontId="3" fillId="5" borderId="19" xfId="0" applyNumberFormat="1" applyFont="1" applyFill="1" applyBorder="1" applyAlignment="1" applyProtection="1">
      <alignment horizontal="center" vertical="center"/>
      <protection locked="0"/>
    </xf>
    <xf numFmtId="4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vertical="center"/>
      <protection locked="0"/>
    </xf>
    <xf numFmtId="4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4" fontId="3" fillId="5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4" fontId="3" fillId="5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justify" vertical="center"/>
      <protection locked="0"/>
    </xf>
    <xf numFmtId="4" fontId="3" fillId="5" borderId="4" xfId="0" applyNumberFormat="1" applyFont="1" applyFill="1" applyBorder="1" applyAlignment="1" applyProtection="1">
      <alignment horizontal="justify" vertical="center"/>
      <protection locked="0"/>
    </xf>
    <xf numFmtId="0" fontId="3" fillId="0" borderId="4" xfId="0" applyFont="1" applyBorder="1" applyAlignment="1" applyProtection="1">
      <alignment horizontal="justify" vertical="center"/>
      <protection locked="0"/>
    </xf>
    <xf numFmtId="0" fontId="17" fillId="0" borderId="21" xfId="0" applyFont="1" applyBorder="1" applyAlignment="1" applyProtection="1">
      <alignment horizontal="justify" vertical="center"/>
      <protection locked="0"/>
    </xf>
    <xf numFmtId="0" fontId="17" fillId="0" borderId="0" xfId="0" applyFont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justify" vertical="center"/>
      <protection locked="0"/>
    </xf>
    <xf numFmtId="4" fontId="3" fillId="5" borderId="12" xfId="0" applyNumberFormat="1" applyFont="1" applyFill="1" applyBorder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3" fillId="0" borderId="18" xfId="0" applyFont="1" applyBorder="1" applyAlignment="1" applyProtection="1">
      <alignment horizontal="justify" vertical="center"/>
      <protection locked="0"/>
    </xf>
    <xf numFmtId="4" fontId="3" fillId="5" borderId="5" xfId="0" applyNumberFormat="1" applyFont="1" applyFill="1" applyBorder="1" applyAlignment="1" applyProtection="1">
      <alignment horizontal="justify" vertical="center"/>
      <protection locked="0"/>
    </xf>
    <xf numFmtId="164" fontId="3" fillId="0" borderId="5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0" fontId="16" fillId="0" borderId="3" xfId="0" applyNumberFormat="1" applyFont="1" applyBorder="1" applyAlignment="1">
      <alignment vertical="center"/>
    </xf>
    <xf numFmtId="4" fontId="4" fillId="0" borderId="26" xfId="0" applyNumberFormat="1" applyFont="1" applyBorder="1" applyAlignment="1" applyProtection="1">
      <alignment horizontal="right" vertical="center"/>
      <protection locked="0"/>
    </xf>
    <xf numFmtId="164" fontId="3" fillId="0" borderId="4" xfId="0" applyNumberFormat="1" applyFont="1" applyBorder="1" applyAlignment="1">
      <alignment vertical="center"/>
    </xf>
    <xf numFmtId="164" fontId="3" fillId="0" borderId="24" xfId="0" applyNumberFormat="1" applyFont="1" applyBorder="1" applyAlignment="1">
      <alignment vertical="center"/>
    </xf>
    <xf numFmtId="4" fontId="3" fillId="0" borderId="24" xfId="0" applyNumberFormat="1" applyFont="1" applyBorder="1" applyAlignment="1" applyProtection="1">
      <alignment horizontal="justify" vertical="center"/>
      <protection locked="0"/>
    </xf>
    <xf numFmtId="164" fontId="4" fillId="0" borderId="12" xfId="4" applyFont="1" applyBorder="1" applyAlignment="1" applyProtection="1">
      <alignment horizontal="justify" vertical="center"/>
      <protection locked="0"/>
    </xf>
    <xf numFmtId="164" fontId="3" fillId="5" borderId="11" xfId="4" applyFont="1" applyFill="1" applyBorder="1" applyAlignment="1" applyProtection="1">
      <alignment horizontal="justify" vertical="center"/>
      <protection locked="0"/>
    </xf>
    <xf numFmtId="164" fontId="3" fillId="5" borderId="4" xfId="4" applyFont="1" applyFill="1" applyBorder="1" applyAlignment="1" applyProtection="1">
      <alignment horizontal="justify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5" borderId="25" xfId="0" applyNumberFormat="1" applyFont="1" applyFill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>
      <alignment vertical="center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4" fontId="3" fillId="5" borderId="26" xfId="0" applyNumberFormat="1" applyFont="1" applyFill="1" applyBorder="1" applyAlignment="1" applyProtection="1">
      <alignment horizontal="center" vertical="center"/>
      <protection locked="0"/>
    </xf>
    <xf numFmtId="4" fontId="3" fillId="5" borderId="6" xfId="0" applyNumberFormat="1" applyFont="1" applyFill="1" applyBorder="1" applyAlignment="1" applyProtection="1">
      <alignment horizontal="center" vertical="center"/>
      <protection locked="0"/>
    </xf>
    <xf numFmtId="4" fontId="3" fillId="5" borderId="28" xfId="0" applyNumberFormat="1" applyFont="1" applyFill="1" applyBorder="1" applyAlignment="1" applyProtection="1">
      <alignment horizontal="center" vertical="center"/>
      <protection locked="0"/>
    </xf>
    <xf numFmtId="164" fontId="4" fillId="0" borderId="11" xfId="0" applyNumberFormat="1" applyFont="1" applyBorder="1" applyAlignment="1">
      <alignment vertical="center"/>
    </xf>
    <xf numFmtId="164" fontId="3" fillId="6" borderId="7" xfId="0" applyNumberFormat="1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15" fillId="0" borderId="29" xfId="0" applyFont="1" applyBorder="1"/>
    <xf numFmtId="0" fontId="3" fillId="6" borderId="3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4" fontId="7" fillId="2" borderId="22" xfId="0" applyNumberFormat="1" applyFont="1" applyFill="1" applyBorder="1" applyAlignment="1">
      <alignment horizontal="right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164" fontId="4" fillId="0" borderId="5" xfId="0" applyNumberFormat="1" applyFont="1" applyBorder="1" applyAlignment="1" applyProtection="1">
      <alignment vertical="center"/>
      <protection locked="0"/>
    </xf>
    <xf numFmtId="164" fontId="3" fillId="0" borderId="5" xfId="4" applyFont="1" applyBorder="1" applyAlignment="1" applyProtection="1">
      <alignment horizontal="justify" vertical="center"/>
    </xf>
    <xf numFmtId="165" fontId="14" fillId="0" borderId="4" xfId="0" applyNumberFormat="1" applyFont="1" applyBorder="1" applyAlignment="1">
      <alignment wrapText="1"/>
    </xf>
    <xf numFmtId="165" fontId="15" fillId="0" borderId="4" xfId="0" applyNumberFormat="1" applyFont="1" applyBorder="1" applyAlignment="1">
      <alignment wrapText="1"/>
    </xf>
    <xf numFmtId="165" fontId="15" fillId="0" borderId="24" xfId="0" applyNumberFormat="1" applyFont="1" applyBorder="1" applyAlignment="1">
      <alignment wrapText="1"/>
    </xf>
    <xf numFmtId="4" fontId="3" fillId="7" borderId="12" xfId="0" applyNumberFormat="1" applyFont="1" applyFill="1" applyBorder="1" applyAlignment="1" applyProtection="1">
      <alignment horizontal="justify" vertical="center"/>
      <protection locked="0"/>
    </xf>
    <xf numFmtId="164" fontId="3" fillId="7" borderId="5" xfId="4" applyFont="1" applyFill="1" applyBorder="1" applyAlignment="1" applyProtection="1">
      <alignment horizontal="justify" vertical="center"/>
      <protection locked="0"/>
    </xf>
    <xf numFmtId="0" fontId="19" fillId="0" borderId="7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0" borderId="30" xfId="0" applyFont="1" applyBorder="1"/>
    <xf numFmtId="0" fontId="22" fillId="0" borderId="29" xfId="0" applyFont="1" applyBorder="1" applyAlignment="1">
      <alignment horizontal="left" vertical="center"/>
    </xf>
    <xf numFmtId="0" fontId="23" fillId="0" borderId="29" xfId="0" applyFont="1" applyBorder="1"/>
    <xf numFmtId="0" fontId="24" fillId="0" borderId="29" xfId="0" applyFont="1" applyBorder="1"/>
    <xf numFmtId="0" fontId="7" fillId="7" borderId="0" xfId="0" applyFont="1" applyFill="1" applyAlignment="1">
      <alignment horizontal="center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2" borderId="37" xfId="0" applyNumberFormat="1" applyFont="1" applyFill="1" applyBorder="1" applyAlignment="1">
      <alignment horizontal="right" vertical="center" wrapText="1"/>
    </xf>
    <xf numFmtId="2" fontId="14" fillId="4" borderId="11" xfId="0" applyNumberFormat="1" applyFont="1" applyFill="1" applyBorder="1" applyAlignment="1">
      <alignment horizontal="right" wrapText="1"/>
    </xf>
    <xf numFmtId="0" fontId="14" fillId="4" borderId="12" xfId="0" applyFont="1" applyFill="1" applyBorder="1" applyAlignment="1">
      <alignment wrapText="1"/>
    </xf>
    <xf numFmtId="10" fontId="14" fillId="0" borderId="4" xfId="0" applyNumberFormat="1" applyFont="1" applyBorder="1" applyAlignment="1">
      <alignment wrapText="1"/>
    </xf>
    <xf numFmtId="165" fontId="15" fillId="4" borderId="4" xfId="0" applyNumberFormat="1" applyFont="1" applyFill="1" applyBorder="1" applyAlignment="1">
      <alignment wrapText="1"/>
    </xf>
    <xf numFmtId="10" fontId="14" fillId="4" borderId="4" xfId="0" applyNumberFormat="1" applyFont="1" applyFill="1" applyBorder="1" applyAlignment="1">
      <alignment wrapText="1"/>
    </xf>
    <xf numFmtId="2" fontId="14" fillId="0" borderId="4" xfId="0" applyNumberFormat="1" applyFont="1" applyBorder="1" applyAlignment="1">
      <alignment horizontal="right" wrapText="1"/>
    </xf>
    <xf numFmtId="2" fontId="14" fillId="4" borderId="4" xfId="0" applyNumberFormat="1" applyFont="1" applyFill="1" applyBorder="1" applyAlignment="1">
      <alignment horizontal="right" wrapText="1"/>
    </xf>
    <xf numFmtId="0" fontId="15" fillId="3" borderId="8" xfId="0" applyFont="1" applyFill="1" applyBorder="1" applyAlignment="1">
      <alignment horizontal="left" vertical="center" wrapText="1"/>
    </xf>
    <xf numFmtId="165" fontId="15" fillId="3" borderId="3" xfId="0" applyNumberFormat="1" applyFont="1" applyFill="1" applyBorder="1" applyAlignment="1">
      <alignment wrapText="1"/>
    </xf>
    <xf numFmtId="10" fontId="15" fillId="3" borderId="14" xfId="0" applyNumberFormat="1" applyFont="1" applyFill="1" applyBorder="1" applyAlignment="1">
      <alignment horizontal="center" wrapText="1"/>
    </xf>
    <xf numFmtId="0" fontId="25" fillId="0" borderId="0" xfId="0" applyFont="1"/>
    <xf numFmtId="17" fontId="25" fillId="0" borderId="0" xfId="0" applyNumberFormat="1" applyFont="1"/>
    <xf numFmtId="17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left" vertical="center"/>
    </xf>
    <xf numFmtId="44" fontId="25" fillId="0" borderId="0" xfId="6" applyFont="1"/>
    <xf numFmtId="44" fontId="25" fillId="0" borderId="0" xfId="0" applyNumberFormat="1" applyFont="1"/>
    <xf numFmtId="44" fontId="0" fillId="0" borderId="0" xfId="6" applyFont="1"/>
    <xf numFmtId="44" fontId="0" fillId="0" borderId="0" xfId="0" applyNumberForma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4" fontId="4" fillId="0" borderId="4" xfId="4" applyFont="1" applyFill="1" applyBorder="1" applyAlignment="1" applyProtection="1">
      <alignment horizontal="right" vertical="center"/>
      <protection locked="0"/>
    </xf>
    <xf numFmtId="164" fontId="4" fillId="0" borderId="26" xfId="4" applyFont="1" applyFill="1" applyBorder="1" applyAlignment="1" applyProtection="1">
      <alignment horizontal="right" vertical="center"/>
      <protection locked="0"/>
    </xf>
    <xf numFmtId="164" fontId="4" fillId="0" borderId="5" xfId="4" applyFont="1" applyFill="1" applyBorder="1" applyAlignment="1" applyProtection="1">
      <alignment horizontal="right" vertical="center"/>
      <protection locked="0"/>
    </xf>
    <xf numFmtId="0" fontId="8" fillId="0" borderId="29" xfId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justify" vertical="center"/>
      <protection locked="0"/>
    </xf>
    <xf numFmtId="164" fontId="3" fillId="5" borderId="6" xfId="4" applyFont="1" applyFill="1" applyBorder="1" applyAlignment="1" applyProtection="1">
      <alignment horizontal="justify" vertical="center"/>
      <protection locked="0"/>
    </xf>
    <xf numFmtId="4" fontId="3" fillId="7" borderId="38" xfId="0" applyNumberFormat="1" applyFont="1" applyFill="1" applyBorder="1" applyAlignment="1" applyProtection="1">
      <alignment horizontal="justify" vertical="center"/>
      <protection locked="0"/>
    </xf>
    <xf numFmtId="4" fontId="3" fillId="7" borderId="39" xfId="0" applyNumberFormat="1" applyFont="1" applyFill="1" applyBorder="1" applyAlignment="1" applyProtection="1">
      <alignment horizontal="justify" vertical="center"/>
      <protection locked="0"/>
    </xf>
    <xf numFmtId="0" fontId="3" fillId="4" borderId="8" xfId="0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 applyProtection="1">
      <alignment horizontal="left" vertical="center"/>
      <protection locked="0"/>
    </xf>
    <xf numFmtId="0" fontId="3" fillId="4" borderId="16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2" fillId="0" borderId="0" xfId="2" applyFont="1" applyAlignment="1">
      <alignment horizontal="center" wrapText="1"/>
    </xf>
    <xf numFmtId="164" fontId="3" fillId="6" borderId="35" xfId="0" applyNumberFormat="1" applyFont="1" applyFill="1" applyBorder="1" applyAlignment="1">
      <alignment horizontal="center" vertical="center" wrapText="1"/>
    </xf>
    <xf numFmtId="164" fontId="3" fillId="6" borderId="28" xfId="0" applyNumberFormat="1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7">
    <cellStyle name="Hiperlink 2" xfId="1" xr:uid="{00000000-0005-0000-0000-000001000000}"/>
    <cellStyle name="Moeda" xfId="6" builtinId="4"/>
    <cellStyle name="Normal" xfId="0" builtinId="0"/>
    <cellStyle name="Normal 2" xfId="2" xr:uid="{00000000-0005-0000-0000-000003000000}"/>
    <cellStyle name="Porcentagem 2" xfId="3" xr:uid="{00000000-0005-0000-0000-000004000000}"/>
    <cellStyle name="Vírgula" xfId="4" builtinId="3"/>
    <cellStyle name="Vírgula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tália Zanetti" id="{30F888BC-549A-41BB-98BA-BDC9F6FA2FE5}" userId="S::tecnico@agenciasmt.com.br::8da96095-98b5-436c-b0a3-20eda3d62e7f" providerId="AD"/>
  <person displayName="Julia Nogueira Gomes" id="{5A127D4D-E51D-4A9B-BEA8-4C5FA16C0CCC}" userId="S::financeiro@agenciasmt.com.br::16831cc0-a058-4460-9cac-339e754311e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2" dT="2023-02-15T14:07:47.23" personId="{5A127D4D-E51D-4A9B-BEA8-4C5FA16C0CCC}" id="{7496672A-8EC5-4FEE-90F2-9DAB4578DB8B}">
    <text>Serviço Técnico Especializado/Apoio Operacional</text>
  </threadedComment>
  <threadedComment ref="A29" dT="2023-02-15T14:06:53.62" personId="{5A127D4D-E51D-4A9B-BEA8-4C5FA16C0CCC}" id="{25754303-8310-4346-BDB0-1DAA5854CD50}">
    <text>DOE, cartório e telefone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7" dT="2024-01-19T18:32:57.40" personId="{30F888BC-549A-41BB-98BA-BDC9F6FA2FE5}" id="{F2D2A2F8-0A85-4741-AA11-EDC565BEA69F}">
    <text>Não estava no plano de aplicação de 2023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8890-4119-497B-9DA1-807C021C66FB}">
  <dimension ref="A1:N57"/>
  <sheetViews>
    <sheetView workbookViewId="0">
      <pane xSplit="1" topLeftCell="G1" activePane="topRight" state="frozen"/>
      <selection pane="topRight" activeCell="N17" sqref="N17"/>
    </sheetView>
  </sheetViews>
  <sheetFormatPr defaultRowHeight="15" x14ac:dyDescent="0.25"/>
  <cols>
    <col min="1" max="1" width="76.7109375" bestFit="1" customWidth="1"/>
    <col min="2" max="14" width="17.7109375" bestFit="1" customWidth="1"/>
  </cols>
  <sheetData>
    <row r="1" spans="1:14" x14ac:dyDescent="0.25">
      <c r="A1" s="133" t="s">
        <v>0</v>
      </c>
      <c r="B1" s="134">
        <v>44927</v>
      </c>
      <c r="C1" s="134">
        <v>44958</v>
      </c>
      <c r="D1" s="134">
        <v>44986</v>
      </c>
      <c r="E1" s="134">
        <v>45017</v>
      </c>
      <c r="F1" s="134">
        <v>45047</v>
      </c>
      <c r="G1" s="134">
        <v>45078</v>
      </c>
      <c r="H1" s="134">
        <v>45108</v>
      </c>
      <c r="I1" s="134">
        <v>45139</v>
      </c>
      <c r="J1" s="134">
        <v>45170</v>
      </c>
      <c r="K1" s="134">
        <v>45200</v>
      </c>
      <c r="L1" s="134">
        <v>45231</v>
      </c>
      <c r="M1" s="134">
        <v>45261</v>
      </c>
      <c r="N1" s="135" t="s">
        <v>1</v>
      </c>
    </row>
    <row r="2" spans="1:14" x14ac:dyDescent="0.25">
      <c r="A2" s="136" t="s">
        <v>2</v>
      </c>
      <c r="B2" s="137">
        <v>40632861.380000003</v>
      </c>
      <c r="C2" s="137">
        <f t="shared" ref="C2:M2" si="0">B24</f>
        <v>38432617.270000003</v>
      </c>
      <c r="D2" s="137">
        <f t="shared" si="0"/>
        <v>38465061.780000001</v>
      </c>
      <c r="E2" s="138">
        <f t="shared" si="0"/>
        <v>38312889.43</v>
      </c>
      <c r="F2" s="138">
        <f t="shared" si="0"/>
        <v>38434245.219999999</v>
      </c>
      <c r="G2" s="138">
        <f t="shared" si="0"/>
        <v>37990587.659999996</v>
      </c>
      <c r="H2" s="138">
        <f t="shared" si="0"/>
        <v>38017789.989999995</v>
      </c>
      <c r="I2" s="138">
        <f t="shared" si="0"/>
        <v>36808039.579999991</v>
      </c>
      <c r="J2" s="138">
        <f t="shared" si="0"/>
        <v>37927401.489999995</v>
      </c>
      <c r="K2" s="138">
        <f t="shared" si="0"/>
        <v>36251643.79999999</v>
      </c>
      <c r="L2" s="138">
        <f t="shared" si="0"/>
        <v>37255520.739999987</v>
      </c>
      <c r="M2" s="138">
        <f t="shared" si="0"/>
        <v>37112509.699999988</v>
      </c>
      <c r="N2" s="138"/>
    </row>
    <row r="3" spans="1:14" x14ac:dyDescent="0.25">
      <c r="A3" s="136"/>
      <c r="B3" s="139"/>
      <c r="C3" s="139"/>
      <c r="D3" s="139"/>
    </row>
    <row r="4" spans="1:14" x14ac:dyDescent="0.25">
      <c r="A4" s="133" t="s">
        <v>3</v>
      </c>
      <c r="B4" s="137">
        <f>B5+B6+B7+B8+B9+B10+B11</f>
        <v>543762.61</v>
      </c>
      <c r="C4" s="137">
        <f t="shared" ref="C4:M4" si="1">C5+C6+C7+C8+C9+C10+C11</f>
        <v>349829.57</v>
      </c>
      <c r="D4" s="137">
        <f t="shared" si="1"/>
        <v>1472363.55</v>
      </c>
      <c r="E4" s="137">
        <f t="shared" si="1"/>
        <v>1431502.7600000002</v>
      </c>
      <c r="F4" s="137">
        <f t="shared" si="1"/>
        <v>1602920.18</v>
      </c>
      <c r="G4" s="137">
        <f t="shared" si="1"/>
        <v>1468712.23</v>
      </c>
      <c r="H4" s="137">
        <f t="shared" si="1"/>
        <v>1558037.6600000001</v>
      </c>
      <c r="I4" s="137">
        <f t="shared" si="1"/>
        <v>1504744.0300000003</v>
      </c>
      <c r="J4" s="137">
        <f t="shared" si="1"/>
        <v>1347883.48</v>
      </c>
      <c r="K4" s="137">
        <f t="shared" si="1"/>
        <v>1315380.3600000001</v>
      </c>
      <c r="L4" s="137">
        <f t="shared" si="1"/>
        <v>1315674.44</v>
      </c>
      <c r="M4" s="137">
        <f t="shared" si="1"/>
        <v>1275698.08</v>
      </c>
      <c r="N4" s="137">
        <f>SUM(B4:M4)</f>
        <v>15186508.949999999</v>
      </c>
    </row>
    <row r="5" spans="1:14" x14ac:dyDescent="0.25">
      <c r="A5" t="s">
        <v>4</v>
      </c>
      <c r="B5" s="139">
        <v>0</v>
      </c>
      <c r="C5" s="139">
        <v>0</v>
      </c>
      <c r="D5" s="139">
        <v>0</v>
      </c>
      <c r="E5" s="139">
        <v>43040.65</v>
      </c>
      <c r="F5" s="139">
        <v>78321.67</v>
      </c>
      <c r="G5" s="139">
        <v>94350.46</v>
      </c>
      <c r="H5" s="139">
        <v>187152.61</v>
      </c>
      <c r="I5" s="139">
        <v>104902.61</v>
      </c>
      <c r="J5" s="139">
        <v>20004.89</v>
      </c>
      <c r="K5" s="139">
        <v>12943.58</v>
      </c>
      <c r="L5" s="139">
        <v>28494.62</v>
      </c>
      <c r="M5" s="139">
        <v>0</v>
      </c>
      <c r="N5" s="140">
        <f>SUM(B5:M5)</f>
        <v>569211.09</v>
      </c>
    </row>
    <row r="6" spans="1:14" x14ac:dyDescent="0.25">
      <c r="A6" t="s">
        <v>5</v>
      </c>
      <c r="B6" s="139">
        <v>0</v>
      </c>
      <c r="C6" s="139">
        <v>0</v>
      </c>
      <c r="D6" s="139">
        <v>0</v>
      </c>
      <c r="E6" s="139">
        <v>0</v>
      </c>
      <c r="F6" s="139">
        <v>0</v>
      </c>
      <c r="G6" s="139">
        <v>0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40">
        <f t="shared" ref="N6:N11" si="2">SUM(B6:M6)</f>
        <v>0</v>
      </c>
    </row>
    <row r="7" spans="1:14" x14ac:dyDescent="0.25">
      <c r="A7" t="s">
        <v>6</v>
      </c>
      <c r="B7" s="139">
        <v>428005.76</v>
      </c>
      <c r="C7" s="139">
        <v>343774.94</v>
      </c>
      <c r="D7" s="139">
        <v>428797.69</v>
      </c>
      <c r="E7" s="139">
        <v>343604.88</v>
      </c>
      <c r="F7" s="139">
        <v>409872.25</v>
      </c>
      <c r="G7" s="139">
        <v>394715.75</v>
      </c>
      <c r="H7" s="139">
        <v>394257.13</v>
      </c>
      <c r="I7" s="139">
        <v>410376.03</v>
      </c>
      <c r="J7" s="139">
        <v>348526.24</v>
      </c>
      <c r="K7" s="139">
        <v>353137.27</v>
      </c>
      <c r="L7" s="139">
        <v>330687.15999999997</v>
      </c>
      <c r="M7" s="139">
        <v>318187.56</v>
      </c>
      <c r="N7" s="140">
        <f t="shared" si="2"/>
        <v>4503942.66</v>
      </c>
    </row>
    <row r="8" spans="1:14" x14ac:dyDescent="0.25">
      <c r="A8" t="s">
        <v>7</v>
      </c>
      <c r="B8" s="139">
        <v>107370.4</v>
      </c>
      <c r="C8" s="139">
        <v>6054.63</v>
      </c>
      <c r="D8" s="139">
        <v>1034313.75</v>
      </c>
      <c r="E8" s="139">
        <v>1044255.13</v>
      </c>
      <c r="F8" s="139">
        <v>1113089.1499999999</v>
      </c>
      <c r="G8" s="139">
        <v>978404.32</v>
      </c>
      <c r="H8" s="139">
        <v>976198.82</v>
      </c>
      <c r="I8" s="139">
        <v>989146.79</v>
      </c>
      <c r="J8" s="139">
        <v>979352.35</v>
      </c>
      <c r="K8" s="139">
        <v>949299.51</v>
      </c>
      <c r="L8" s="139">
        <v>956492.66</v>
      </c>
      <c r="M8" s="139">
        <v>957510.52</v>
      </c>
      <c r="N8" s="140">
        <f t="shared" si="2"/>
        <v>10091488.029999999</v>
      </c>
    </row>
    <row r="9" spans="1:14" x14ac:dyDescent="0.25">
      <c r="A9" t="s">
        <v>8</v>
      </c>
      <c r="B9" s="139">
        <v>8386.4500000000007</v>
      </c>
      <c r="C9" s="139">
        <v>0</v>
      </c>
      <c r="D9" s="139">
        <v>9252.11</v>
      </c>
      <c r="E9" s="139">
        <v>602.1</v>
      </c>
      <c r="F9" s="139">
        <v>1637.11</v>
      </c>
      <c r="G9" s="139">
        <v>1241.7</v>
      </c>
      <c r="H9" s="139">
        <v>429.1</v>
      </c>
      <c r="I9" s="139">
        <v>318.60000000000002</v>
      </c>
      <c r="J9" s="139">
        <v>0</v>
      </c>
      <c r="K9" s="139">
        <v>0</v>
      </c>
      <c r="L9" s="139">
        <v>0</v>
      </c>
      <c r="M9" s="139">
        <v>0</v>
      </c>
      <c r="N9" s="140">
        <f t="shared" si="2"/>
        <v>21867.17</v>
      </c>
    </row>
    <row r="10" spans="1:14" x14ac:dyDescent="0.25">
      <c r="A10" t="s">
        <v>9</v>
      </c>
      <c r="B10" s="139">
        <v>0</v>
      </c>
      <c r="C10" s="139">
        <v>0</v>
      </c>
      <c r="D10" s="139">
        <v>0</v>
      </c>
      <c r="E10" s="139">
        <v>0</v>
      </c>
      <c r="F10" s="139">
        <v>0</v>
      </c>
      <c r="G10" s="139">
        <v>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40">
        <f t="shared" si="2"/>
        <v>0</v>
      </c>
    </row>
    <row r="11" spans="1:14" x14ac:dyDescent="0.25">
      <c r="A11" t="s">
        <v>10</v>
      </c>
      <c r="B11" s="139">
        <v>0</v>
      </c>
      <c r="C11" s="139">
        <v>0</v>
      </c>
      <c r="D11" s="139">
        <v>0</v>
      </c>
      <c r="E11" s="139">
        <v>0</v>
      </c>
      <c r="F11" s="139">
        <v>0</v>
      </c>
      <c r="G11" s="139">
        <v>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40">
        <f t="shared" si="2"/>
        <v>0</v>
      </c>
    </row>
    <row r="12" spans="1:14" x14ac:dyDescent="0.25">
      <c r="B12" s="139"/>
      <c r="C12" s="139"/>
      <c r="D12" s="139"/>
    </row>
    <row r="13" spans="1:14" x14ac:dyDescent="0.25">
      <c r="A13" s="133" t="s">
        <v>11</v>
      </c>
      <c r="B13" s="137">
        <f t="shared" ref="B13:M13" si="3">B14+B15+B16+B17+B18+B19+B20+B21+B22</f>
        <v>2744006.72</v>
      </c>
      <c r="C13" s="137">
        <f t="shared" si="3"/>
        <v>317385.06</v>
      </c>
      <c r="D13" s="137">
        <f t="shared" si="3"/>
        <v>1624535.9</v>
      </c>
      <c r="E13" s="137">
        <f t="shared" si="3"/>
        <v>1310146.97</v>
      </c>
      <c r="F13" s="137">
        <f t="shared" si="3"/>
        <v>2046577.74</v>
      </c>
      <c r="G13" s="137">
        <f t="shared" si="3"/>
        <v>1441509.9</v>
      </c>
      <c r="H13" s="137">
        <f t="shared" si="3"/>
        <v>2767788.0700000003</v>
      </c>
      <c r="I13" s="137">
        <f t="shared" si="3"/>
        <v>385382.12</v>
      </c>
      <c r="J13" s="137">
        <f t="shared" si="3"/>
        <v>3023641.1700000004</v>
      </c>
      <c r="K13" s="137">
        <f t="shared" si="3"/>
        <v>311503.42000000004</v>
      </c>
      <c r="L13" s="137">
        <f t="shared" si="3"/>
        <v>1458685.48</v>
      </c>
      <c r="M13" s="137">
        <f t="shared" si="3"/>
        <v>3051103.99</v>
      </c>
      <c r="N13" s="138">
        <f>SUM(B13:M13)</f>
        <v>20482266.539999999</v>
      </c>
    </row>
    <row r="14" spans="1:14" x14ac:dyDescent="0.25">
      <c r="A14" t="s">
        <v>12</v>
      </c>
      <c r="B14" s="139">
        <v>2500201.6</v>
      </c>
      <c r="C14" s="139">
        <v>243550.77</v>
      </c>
      <c r="D14" s="139">
        <v>1522172.42</v>
      </c>
      <c r="E14" s="139">
        <v>1206495.78</v>
      </c>
      <c r="F14" s="139">
        <v>1724122.86</v>
      </c>
      <c r="G14" s="139">
        <v>1322924.69</v>
      </c>
      <c r="H14" s="139">
        <v>2478243.81</v>
      </c>
      <c r="I14" s="139">
        <v>111470.09</v>
      </c>
      <c r="J14" s="139">
        <v>2758153.99</v>
      </c>
      <c r="K14" s="139">
        <v>136169.95000000001</v>
      </c>
      <c r="L14" s="139">
        <v>1241679.54</v>
      </c>
      <c r="M14" s="139">
        <v>2809823.84</v>
      </c>
      <c r="N14" s="140">
        <f>SUM(B14:M14)</f>
        <v>18055009.34</v>
      </c>
    </row>
    <row r="15" spans="1:14" x14ac:dyDescent="0.25">
      <c r="A15" t="s">
        <v>13</v>
      </c>
      <c r="B15" s="139">
        <v>68755.539999999994</v>
      </c>
      <c r="C15" s="139">
        <v>6697.65</v>
      </c>
      <c r="D15" s="139">
        <v>41859.74</v>
      </c>
      <c r="E15" s="139">
        <v>33178.639999999999</v>
      </c>
      <c r="F15" s="139">
        <v>47413.38</v>
      </c>
      <c r="G15" s="139">
        <v>52827.48</v>
      </c>
      <c r="H15" s="139">
        <v>115466.95</v>
      </c>
      <c r="I15" s="139">
        <v>19174.82</v>
      </c>
      <c r="J15" s="139">
        <v>101497.93</v>
      </c>
      <c r="K15" s="139">
        <v>20991.29</v>
      </c>
      <c r="L15" s="139">
        <v>60882.64</v>
      </c>
      <c r="M15" s="139">
        <v>87716.99</v>
      </c>
      <c r="N15" s="140">
        <f t="shared" ref="N15:N21" si="4">SUM(B15:M15)</f>
        <v>656463.04999999993</v>
      </c>
    </row>
    <row r="16" spans="1:14" x14ac:dyDescent="0.25">
      <c r="A16" t="s">
        <v>14</v>
      </c>
      <c r="B16" s="139">
        <v>102123.44</v>
      </c>
      <c r="C16" s="139">
        <v>0</v>
      </c>
      <c r="D16" s="139">
        <v>7288.09</v>
      </c>
      <c r="E16" s="139">
        <v>0</v>
      </c>
      <c r="F16" s="139">
        <v>219777.79</v>
      </c>
      <c r="G16" s="139">
        <v>0</v>
      </c>
      <c r="H16" s="139">
        <v>111308.92</v>
      </c>
      <c r="I16" s="139">
        <v>195460.31</v>
      </c>
      <c r="J16" s="139">
        <v>98914.68</v>
      </c>
      <c r="K16" s="139">
        <v>97935.24</v>
      </c>
      <c r="L16" s="139">
        <v>96278.02</v>
      </c>
      <c r="M16" s="139">
        <v>95649.27</v>
      </c>
      <c r="N16" s="140">
        <f t="shared" si="4"/>
        <v>1024735.76</v>
      </c>
    </row>
    <row r="17" spans="1:14" x14ac:dyDescent="0.25">
      <c r="A17" t="s">
        <v>15</v>
      </c>
      <c r="B17" s="139">
        <v>70315.429999999993</v>
      </c>
      <c r="C17" s="139">
        <v>67136.639999999999</v>
      </c>
      <c r="D17" s="139">
        <v>53215.65</v>
      </c>
      <c r="E17" s="139">
        <v>70472.55</v>
      </c>
      <c r="F17" s="139">
        <v>52964.78</v>
      </c>
      <c r="G17" s="139">
        <v>63998.39</v>
      </c>
      <c r="H17" s="139">
        <v>62768.39</v>
      </c>
      <c r="I17" s="139">
        <v>59276.9</v>
      </c>
      <c r="J17" s="139">
        <v>65074.57</v>
      </c>
      <c r="K17" s="139">
        <v>56136.34</v>
      </c>
      <c r="L17" s="139">
        <v>59845.279999999999</v>
      </c>
      <c r="M17" s="139">
        <v>57913.89</v>
      </c>
      <c r="N17" s="140">
        <f t="shared" si="4"/>
        <v>739118.81</v>
      </c>
    </row>
    <row r="18" spans="1:14" x14ac:dyDescent="0.25">
      <c r="A18" t="s">
        <v>16</v>
      </c>
      <c r="B18" s="139">
        <v>0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40">
        <f t="shared" si="4"/>
        <v>0</v>
      </c>
    </row>
    <row r="19" spans="1:14" x14ac:dyDescent="0.25">
      <c r="A19" t="s">
        <v>17</v>
      </c>
      <c r="B19" s="139">
        <v>0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40">
        <f t="shared" si="4"/>
        <v>0</v>
      </c>
    </row>
    <row r="20" spans="1:14" x14ac:dyDescent="0.25">
      <c r="A20" t="s">
        <v>18</v>
      </c>
      <c r="B20" s="139">
        <v>8.1999999999999993</v>
      </c>
      <c r="C20" s="139">
        <v>0</v>
      </c>
      <c r="D20" s="139">
        <v>0</v>
      </c>
      <c r="E20" s="139">
        <v>0</v>
      </c>
      <c r="F20" s="139">
        <v>11.5</v>
      </c>
      <c r="G20" s="139">
        <v>11.5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40">
        <f t="shared" si="4"/>
        <v>31.2</v>
      </c>
    </row>
    <row r="21" spans="1:14" x14ac:dyDescent="0.25">
      <c r="A21" t="s">
        <v>19</v>
      </c>
      <c r="B21" s="139">
        <v>2602.5100000000002</v>
      </c>
      <c r="C21" s="139">
        <v>0</v>
      </c>
      <c r="D21" s="139">
        <v>0</v>
      </c>
      <c r="E21" s="139">
        <v>0</v>
      </c>
      <c r="F21" s="139">
        <v>2287.4299999999998</v>
      </c>
      <c r="G21" s="139">
        <v>1747.84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40">
        <f t="shared" si="4"/>
        <v>6637.7800000000007</v>
      </c>
    </row>
    <row r="22" spans="1:14" x14ac:dyDescent="0.25">
      <c r="A22" t="s">
        <v>20</v>
      </c>
      <c r="B22" s="139">
        <v>0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270.60000000000002</v>
      </c>
      <c r="L22" s="139">
        <v>0</v>
      </c>
      <c r="M22" s="139">
        <v>0</v>
      </c>
      <c r="N22" s="140">
        <f>SUM(B22:M22)</f>
        <v>270.60000000000002</v>
      </c>
    </row>
    <row r="23" spans="1:14" x14ac:dyDescent="0.25">
      <c r="B23" s="139"/>
      <c r="C23" s="139"/>
      <c r="D23" s="139"/>
    </row>
    <row r="24" spans="1:14" x14ac:dyDescent="0.25">
      <c r="A24" s="133" t="s">
        <v>21</v>
      </c>
      <c r="B24" s="137">
        <f>B2+B4-B13</f>
        <v>38432617.270000003</v>
      </c>
      <c r="C24" s="137">
        <f t="shared" ref="C24:M24" si="5">C2+C4-C13</f>
        <v>38465061.780000001</v>
      </c>
      <c r="D24" s="137">
        <f t="shared" si="5"/>
        <v>38312889.43</v>
      </c>
      <c r="E24" s="137">
        <f t="shared" si="5"/>
        <v>38434245.219999999</v>
      </c>
      <c r="F24" s="137">
        <f t="shared" si="5"/>
        <v>37990587.659999996</v>
      </c>
      <c r="G24" s="137">
        <f t="shared" si="5"/>
        <v>38017789.989999995</v>
      </c>
      <c r="H24" s="137">
        <f t="shared" si="5"/>
        <v>36808039.579999991</v>
      </c>
      <c r="I24" s="137">
        <f t="shared" si="5"/>
        <v>37927401.489999995</v>
      </c>
      <c r="J24" s="137">
        <f t="shared" si="5"/>
        <v>36251643.79999999</v>
      </c>
      <c r="K24" s="137">
        <f t="shared" si="5"/>
        <v>37255520.739999987</v>
      </c>
      <c r="L24" s="137">
        <f t="shared" si="5"/>
        <v>37112509.699999988</v>
      </c>
      <c r="M24" s="137">
        <f t="shared" si="5"/>
        <v>35337103.789999984</v>
      </c>
      <c r="N24" s="138"/>
    </row>
    <row r="25" spans="1:14" x14ac:dyDescent="0.25">
      <c r="B25" s="139"/>
      <c r="C25" s="139"/>
      <c r="D25" s="139"/>
    </row>
    <row r="26" spans="1:14" x14ac:dyDescent="0.25">
      <c r="A26" s="141" t="s">
        <v>1</v>
      </c>
      <c r="B26" s="139"/>
      <c r="C26" s="139"/>
      <c r="D26" s="139"/>
    </row>
    <row r="27" spans="1:14" x14ac:dyDescent="0.25">
      <c r="A27" s="142"/>
      <c r="B27" s="139"/>
      <c r="C27" s="139"/>
      <c r="D27" s="139"/>
    </row>
    <row r="28" spans="1:14" x14ac:dyDescent="0.25">
      <c r="A28" s="141" t="s">
        <v>22</v>
      </c>
      <c r="B28" s="139"/>
      <c r="C28" s="139"/>
      <c r="D28" s="139"/>
    </row>
    <row r="29" spans="1:14" x14ac:dyDescent="0.25">
      <c r="A29" t="s">
        <v>23</v>
      </c>
      <c r="B29" s="139">
        <v>0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40">
        <f>SUM(B29:M29)</f>
        <v>0</v>
      </c>
    </row>
    <row r="30" spans="1:14" x14ac:dyDescent="0.25">
      <c r="A30" t="s">
        <v>24</v>
      </c>
      <c r="B30" s="139">
        <v>0</v>
      </c>
      <c r="C30" s="139">
        <v>0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40">
        <f t="shared" ref="N30:N40" si="6">SUM(B30:M30)</f>
        <v>0</v>
      </c>
    </row>
    <row r="31" spans="1:14" x14ac:dyDescent="0.25">
      <c r="A31" t="s">
        <v>25</v>
      </c>
      <c r="B31" s="139">
        <v>0</v>
      </c>
      <c r="C31" s="139">
        <v>0</v>
      </c>
      <c r="D31" s="139">
        <v>0</v>
      </c>
      <c r="E31" s="139">
        <v>0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40">
        <f t="shared" si="6"/>
        <v>0</v>
      </c>
    </row>
    <row r="32" spans="1:14" x14ac:dyDescent="0.25">
      <c r="A32" t="s">
        <v>26</v>
      </c>
      <c r="B32" s="139">
        <v>0</v>
      </c>
      <c r="C32" s="139">
        <v>0</v>
      </c>
      <c r="D32" s="139">
        <v>0</v>
      </c>
      <c r="E32" s="139">
        <v>0</v>
      </c>
      <c r="F32" s="139">
        <v>0</v>
      </c>
      <c r="G32" s="139">
        <v>0</v>
      </c>
      <c r="H32" s="139"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40">
        <f t="shared" si="6"/>
        <v>0</v>
      </c>
    </row>
    <row r="33" spans="1:14" x14ac:dyDescent="0.25">
      <c r="A33" t="s">
        <v>27</v>
      </c>
      <c r="B33" s="139">
        <v>0</v>
      </c>
      <c r="C33" s="139">
        <v>0</v>
      </c>
      <c r="D33" s="139">
        <v>0</v>
      </c>
      <c r="E33" s="139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40">
        <f t="shared" si="6"/>
        <v>0</v>
      </c>
    </row>
    <row r="34" spans="1:14" x14ac:dyDescent="0.25">
      <c r="A34" t="s">
        <v>28</v>
      </c>
      <c r="B34" s="139">
        <v>0</v>
      </c>
      <c r="C34" s="139">
        <v>0</v>
      </c>
      <c r="D34" s="139">
        <v>0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40">
        <f t="shared" si="6"/>
        <v>0</v>
      </c>
    </row>
    <row r="35" spans="1:14" x14ac:dyDescent="0.25">
      <c r="A35" t="s">
        <v>29</v>
      </c>
      <c r="B35" s="139">
        <v>0</v>
      </c>
      <c r="C35" s="139">
        <v>0</v>
      </c>
      <c r="D35" s="139">
        <v>0</v>
      </c>
      <c r="E35" s="139">
        <v>0</v>
      </c>
      <c r="F35" s="139">
        <v>0</v>
      </c>
      <c r="G35" s="139">
        <v>0</v>
      </c>
      <c r="H35" s="139">
        <v>0</v>
      </c>
      <c r="I35" s="139">
        <v>0</v>
      </c>
      <c r="J35" s="139">
        <v>0</v>
      </c>
      <c r="K35" s="139">
        <v>0</v>
      </c>
      <c r="L35" s="139">
        <v>0</v>
      </c>
      <c r="M35" s="139">
        <v>0</v>
      </c>
      <c r="N35" s="140">
        <f t="shared" si="6"/>
        <v>0</v>
      </c>
    </row>
    <row r="36" spans="1:14" x14ac:dyDescent="0.25">
      <c r="A36" t="s">
        <v>30</v>
      </c>
      <c r="B36" s="139">
        <v>0</v>
      </c>
      <c r="C36" s="139">
        <v>0</v>
      </c>
      <c r="D36" s="139">
        <v>0</v>
      </c>
      <c r="E36" s="139">
        <v>0</v>
      </c>
      <c r="F36" s="139">
        <v>0</v>
      </c>
      <c r="G36" s="139">
        <v>0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40">
        <f t="shared" si="6"/>
        <v>0</v>
      </c>
    </row>
    <row r="37" spans="1:14" x14ac:dyDescent="0.25">
      <c r="A37" t="s">
        <v>31</v>
      </c>
      <c r="B37" s="139">
        <v>0</v>
      </c>
      <c r="C37" s="139">
        <v>0</v>
      </c>
      <c r="D37" s="139">
        <v>0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40">
        <f t="shared" si="6"/>
        <v>0</v>
      </c>
    </row>
    <row r="38" spans="1:14" x14ac:dyDescent="0.25">
      <c r="A38" t="s">
        <v>32</v>
      </c>
      <c r="B38" s="139">
        <v>0</v>
      </c>
      <c r="C38" s="139">
        <v>0</v>
      </c>
      <c r="D38" s="139">
        <v>0</v>
      </c>
      <c r="E38" s="139">
        <v>0</v>
      </c>
      <c r="F38" s="139">
        <v>0</v>
      </c>
      <c r="G38" s="139">
        <v>0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40">
        <f t="shared" si="6"/>
        <v>0</v>
      </c>
    </row>
    <row r="39" spans="1:14" x14ac:dyDescent="0.25">
      <c r="A39" t="s">
        <v>33</v>
      </c>
      <c r="B39" s="139">
        <v>0</v>
      </c>
      <c r="C39" s="139">
        <v>0</v>
      </c>
      <c r="D39" s="139">
        <v>0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40">
        <f t="shared" si="6"/>
        <v>0</v>
      </c>
    </row>
    <row r="40" spans="1:14" x14ac:dyDescent="0.25">
      <c r="A40" s="133" t="s">
        <v>1</v>
      </c>
      <c r="B40" s="137">
        <f>SUM(B29:B39)</f>
        <v>0</v>
      </c>
      <c r="C40" s="137">
        <f t="shared" ref="C40:M40" si="7">SUM(C29:C39)</f>
        <v>0</v>
      </c>
      <c r="D40" s="137">
        <f t="shared" si="7"/>
        <v>0</v>
      </c>
      <c r="E40" s="137">
        <f t="shared" si="7"/>
        <v>0</v>
      </c>
      <c r="F40" s="137">
        <f t="shared" si="7"/>
        <v>0</v>
      </c>
      <c r="G40" s="137">
        <f t="shared" si="7"/>
        <v>0</v>
      </c>
      <c r="H40" s="137">
        <f t="shared" si="7"/>
        <v>0</v>
      </c>
      <c r="I40" s="137">
        <f t="shared" si="7"/>
        <v>0</v>
      </c>
      <c r="J40" s="137">
        <f t="shared" si="7"/>
        <v>0</v>
      </c>
      <c r="K40" s="137">
        <f t="shared" si="7"/>
        <v>0</v>
      </c>
      <c r="L40" s="137">
        <f t="shared" si="7"/>
        <v>0</v>
      </c>
      <c r="M40" s="137">
        <f t="shared" si="7"/>
        <v>0</v>
      </c>
      <c r="N40" s="138">
        <f t="shared" si="6"/>
        <v>0</v>
      </c>
    </row>
    <row r="41" spans="1:14" x14ac:dyDescent="0.25">
      <c r="B41" s="139"/>
      <c r="C41" s="139"/>
      <c r="D41" s="139"/>
    </row>
    <row r="42" spans="1:14" x14ac:dyDescent="0.25">
      <c r="A42" t="s">
        <v>34</v>
      </c>
      <c r="B42" s="139">
        <v>9358.2199999999993</v>
      </c>
      <c r="C42" s="139">
        <v>0</v>
      </c>
      <c r="D42" s="139">
        <v>0</v>
      </c>
      <c r="E42" s="139">
        <v>0</v>
      </c>
      <c r="F42" s="139">
        <v>0</v>
      </c>
      <c r="G42" s="139">
        <v>0</v>
      </c>
      <c r="H42" s="139">
        <v>1908.79</v>
      </c>
      <c r="I42" s="139">
        <v>1000</v>
      </c>
      <c r="J42" s="139">
        <v>0</v>
      </c>
      <c r="K42" s="139">
        <v>0</v>
      </c>
      <c r="L42" s="139">
        <v>0</v>
      </c>
      <c r="M42" s="139">
        <v>0</v>
      </c>
      <c r="N42" s="140">
        <f>SUM(B42:M42)</f>
        <v>12267.009999999998</v>
      </c>
    </row>
    <row r="43" spans="1:14" x14ac:dyDescent="0.25">
      <c r="A43" t="s">
        <v>23</v>
      </c>
      <c r="B43" s="139">
        <v>0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</v>
      </c>
      <c r="I43" s="139"/>
      <c r="J43" s="139">
        <v>0</v>
      </c>
      <c r="K43" s="139">
        <v>0</v>
      </c>
      <c r="L43" s="139">
        <v>0</v>
      </c>
      <c r="M43" s="139">
        <v>0</v>
      </c>
      <c r="N43" s="140">
        <f t="shared" ref="N43:N57" si="8">SUM(B43:M43)</f>
        <v>0</v>
      </c>
    </row>
    <row r="44" spans="1:14" x14ac:dyDescent="0.25">
      <c r="A44" t="s">
        <v>24</v>
      </c>
      <c r="B44" s="139">
        <v>0</v>
      </c>
      <c r="C44" s="139">
        <v>0</v>
      </c>
      <c r="D44" s="139">
        <v>0</v>
      </c>
      <c r="E44" s="139">
        <v>3319</v>
      </c>
      <c r="F44" s="139">
        <v>0</v>
      </c>
      <c r="G44" s="139">
        <v>0</v>
      </c>
      <c r="H44" s="139">
        <v>0</v>
      </c>
      <c r="I44" s="139">
        <v>461.94</v>
      </c>
      <c r="J44" s="139">
        <v>0</v>
      </c>
      <c r="K44" s="139">
        <v>0</v>
      </c>
      <c r="L44" s="139">
        <v>0</v>
      </c>
      <c r="M44" s="139">
        <v>0</v>
      </c>
      <c r="N44" s="140">
        <f t="shared" si="8"/>
        <v>3780.94</v>
      </c>
    </row>
    <row r="45" spans="1:14" x14ac:dyDescent="0.25">
      <c r="A45" t="s">
        <v>25</v>
      </c>
      <c r="B45" s="139">
        <v>27039.61</v>
      </c>
      <c r="C45" s="139">
        <v>0</v>
      </c>
      <c r="D45" s="139">
        <v>30041.79</v>
      </c>
      <c r="E45" s="139">
        <v>16998.87</v>
      </c>
      <c r="F45" s="139">
        <v>28373.25</v>
      </c>
      <c r="G45" s="139">
        <v>10995.13</v>
      </c>
      <c r="H45" s="139">
        <v>42856.08</v>
      </c>
      <c r="I45" s="139">
        <v>520.97</v>
      </c>
      <c r="J45" s="139">
        <v>36497.949999999997</v>
      </c>
      <c r="K45" s="139">
        <v>0</v>
      </c>
      <c r="L45" s="139">
        <v>24833.59</v>
      </c>
      <c r="M45" s="139">
        <v>32309.69</v>
      </c>
      <c r="N45" s="140">
        <f t="shared" si="8"/>
        <v>250466.93000000002</v>
      </c>
    </row>
    <row r="46" spans="1:14" x14ac:dyDescent="0.25">
      <c r="A46" t="s">
        <v>26</v>
      </c>
      <c r="B46" s="139">
        <v>0</v>
      </c>
      <c r="C46" s="139">
        <v>0</v>
      </c>
      <c r="D46" s="139">
        <v>0</v>
      </c>
      <c r="E46" s="139">
        <v>0</v>
      </c>
      <c r="F46" s="139">
        <v>2065.37</v>
      </c>
      <c r="G46" s="139">
        <v>0</v>
      </c>
      <c r="H46" s="139">
        <v>0</v>
      </c>
      <c r="I46" s="139">
        <v>0</v>
      </c>
      <c r="J46" s="139">
        <v>0</v>
      </c>
      <c r="K46" s="139">
        <v>0</v>
      </c>
      <c r="L46" s="139">
        <v>0</v>
      </c>
      <c r="M46" s="139">
        <v>0</v>
      </c>
      <c r="N46" s="140">
        <f t="shared" si="8"/>
        <v>2065.37</v>
      </c>
    </row>
    <row r="47" spans="1:14" x14ac:dyDescent="0.25">
      <c r="A47" t="s">
        <v>27</v>
      </c>
      <c r="B47" s="139">
        <v>4710.6000000000004</v>
      </c>
      <c r="C47" s="139">
        <v>0</v>
      </c>
      <c r="D47" s="139">
        <v>0</v>
      </c>
      <c r="E47" s="139">
        <v>2563.52</v>
      </c>
      <c r="F47" s="139">
        <v>4043.84</v>
      </c>
      <c r="G47" s="139">
        <v>11727.24</v>
      </c>
      <c r="H47" s="139">
        <v>0</v>
      </c>
      <c r="I47" s="139">
        <v>246.48</v>
      </c>
      <c r="J47" s="139">
        <v>17577.38</v>
      </c>
      <c r="K47" s="139">
        <v>2723.4</v>
      </c>
      <c r="L47" s="139">
        <v>0</v>
      </c>
      <c r="M47" s="139">
        <v>0</v>
      </c>
      <c r="N47" s="140">
        <f t="shared" si="8"/>
        <v>43592.46</v>
      </c>
    </row>
    <row r="48" spans="1:14" x14ac:dyDescent="0.25">
      <c r="A48" t="s">
        <v>28</v>
      </c>
      <c r="B48" s="139">
        <v>18751.509999999998</v>
      </c>
      <c r="C48" s="139">
        <v>1826.63</v>
      </c>
      <c r="D48" s="139">
        <v>11416.29</v>
      </c>
      <c r="E48" s="139">
        <v>9048.73</v>
      </c>
      <c r="F48" s="139">
        <v>12930.92</v>
      </c>
      <c r="G48" s="139">
        <v>9921.94</v>
      </c>
      <c r="H48" s="139">
        <v>18586.830000000002</v>
      </c>
      <c r="I48" s="139">
        <v>836.03</v>
      </c>
      <c r="J48" s="139">
        <v>20686.150000000001</v>
      </c>
      <c r="K48" s="139">
        <v>1021.27</v>
      </c>
      <c r="L48" s="139">
        <v>9312.6</v>
      </c>
      <c r="M48" s="139">
        <v>21073.68</v>
      </c>
      <c r="N48" s="140">
        <f t="shared" si="8"/>
        <v>135412.58000000002</v>
      </c>
    </row>
    <row r="49" spans="1:14" x14ac:dyDescent="0.25">
      <c r="A49" t="s">
        <v>29</v>
      </c>
      <c r="B49" s="139">
        <v>8895.6</v>
      </c>
      <c r="C49" s="139">
        <v>0</v>
      </c>
      <c r="D49" s="139">
        <v>401.66</v>
      </c>
      <c r="E49" s="139">
        <v>1248.52</v>
      </c>
      <c r="F49" s="139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39">
        <v>0</v>
      </c>
      <c r="N49" s="140">
        <f t="shared" si="8"/>
        <v>10545.78</v>
      </c>
    </row>
    <row r="50" spans="1:14" x14ac:dyDescent="0.25">
      <c r="A50" t="s">
        <v>30</v>
      </c>
      <c r="B50" s="139">
        <v>0</v>
      </c>
      <c r="C50" s="139">
        <v>4023.32</v>
      </c>
      <c r="D50" s="139">
        <v>0</v>
      </c>
      <c r="E50" s="139">
        <v>0</v>
      </c>
      <c r="F50" s="139">
        <v>0</v>
      </c>
      <c r="G50" s="139">
        <v>3736.12</v>
      </c>
      <c r="H50" s="139">
        <v>4800</v>
      </c>
      <c r="I50" s="139">
        <v>0</v>
      </c>
      <c r="J50" s="139">
        <v>0</v>
      </c>
      <c r="K50" s="139">
        <v>0</v>
      </c>
      <c r="L50" s="139">
        <v>0</v>
      </c>
      <c r="M50" s="139">
        <v>0</v>
      </c>
      <c r="N50" s="140">
        <f t="shared" si="8"/>
        <v>12559.44</v>
      </c>
    </row>
    <row r="51" spans="1:14" x14ac:dyDescent="0.25">
      <c r="A51" t="s">
        <v>31</v>
      </c>
      <c r="B51" s="139">
        <v>0</v>
      </c>
      <c r="C51" s="139">
        <v>847.7</v>
      </c>
      <c r="D51" s="139">
        <v>0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40">
        <f t="shared" si="8"/>
        <v>847.7</v>
      </c>
    </row>
    <row r="52" spans="1:14" x14ac:dyDescent="0.25">
      <c r="A52" t="s">
        <v>32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40">
        <f>SUM(B52:M52)</f>
        <v>0</v>
      </c>
    </row>
    <row r="53" spans="1:14" x14ac:dyDescent="0.25">
      <c r="A53" t="s">
        <v>33</v>
      </c>
      <c r="B53" s="139"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40">
        <f t="shared" si="8"/>
        <v>0</v>
      </c>
    </row>
    <row r="54" spans="1:14" ht="15" customHeight="1" x14ac:dyDescent="0.25">
      <c r="A54" s="16" t="s">
        <v>35</v>
      </c>
      <c r="B54" s="139"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6578.82</v>
      </c>
      <c r="H54" s="139">
        <v>18926.099999999999</v>
      </c>
      <c r="I54" s="139">
        <v>6443.76</v>
      </c>
      <c r="J54" s="139">
        <v>10694.58</v>
      </c>
      <c r="K54" s="139">
        <v>6898.65</v>
      </c>
      <c r="L54" s="139">
        <v>10694.58</v>
      </c>
      <c r="M54" s="139">
        <v>13733.45</v>
      </c>
      <c r="N54" s="140">
        <f t="shared" si="8"/>
        <v>73969.94</v>
      </c>
    </row>
    <row r="55" spans="1:14" x14ac:dyDescent="0.25">
      <c r="A55" t="s">
        <v>36</v>
      </c>
      <c r="B55" s="139">
        <v>0</v>
      </c>
      <c r="C55" s="139">
        <v>0</v>
      </c>
      <c r="D55" s="139">
        <v>0</v>
      </c>
      <c r="E55" s="139">
        <v>0</v>
      </c>
      <c r="F55" s="139">
        <v>0</v>
      </c>
      <c r="G55" s="139">
        <v>3289.41</v>
      </c>
      <c r="H55" s="139">
        <v>9463.0499999999993</v>
      </c>
      <c r="I55" s="139">
        <v>3221.88</v>
      </c>
      <c r="J55" s="139">
        <v>5347.29</v>
      </c>
      <c r="K55" s="139">
        <v>3449.32</v>
      </c>
      <c r="L55" s="139">
        <v>5347.29</v>
      </c>
      <c r="M55" s="139">
        <v>6866.72</v>
      </c>
      <c r="N55" s="140">
        <f t="shared" si="8"/>
        <v>36984.959999999999</v>
      </c>
    </row>
    <row r="56" spans="1:14" x14ac:dyDescent="0.25">
      <c r="A56" t="s">
        <v>37</v>
      </c>
      <c r="B56" s="139">
        <v>0</v>
      </c>
      <c r="C56" s="139">
        <v>0</v>
      </c>
      <c r="D56" s="139">
        <v>0</v>
      </c>
      <c r="E56" s="139">
        <v>0</v>
      </c>
      <c r="F56" s="139">
        <v>0</v>
      </c>
      <c r="G56" s="139">
        <v>6578.82</v>
      </c>
      <c r="H56" s="139">
        <v>18926.099999999999</v>
      </c>
      <c r="I56" s="139">
        <v>6443.76</v>
      </c>
      <c r="J56" s="139">
        <v>10694.58</v>
      </c>
      <c r="K56" s="139">
        <v>6898.65</v>
      </c>
      <c r="L56" s="139">
        <v>10694.58</v>
      </c>
      <c r="M56" s="139">
        <v>13733.45</v>
      </c>
      <c r="N56" s="140">
        <f t="shared" si="8"/>
        <v>73969.94</v>
      </c>
    </row>
    <row r="57" spans="1:14" x14ac:dyDescent="0.25">
      <c r="A57" s="133" t="s">
        <v>1</v>
      </c>
      <c r="B57" s="137">
        <f t="shared" ref="B57:M57" si="9">SUM(B42:B56)</f>
        <v>68755.540000000008</v>
      </c>
      <c r="C57" s="137">
        <f t="shared" si="9"/>
        <v>6697.6500000000005</v>
      </c>
      <c r="D57" s="137">
        <f t="shared" si="9"/>
        <v>41859.740000000005</v>
      </c>
      <c r="E57" s="137">
        <f t="shared" si="9"/>
        <v>33178.639999999999</v>
      </c>
      <c r="F57" s="137">
        <f t="shared" si="9"/>
        <v>47413.38</v>
      </c>
      <c r="G57" s="137">
        <f t="shared" si="9"/>
        <v>52827.48</v>
      </c>
      <c r="H57" s="137">
        <f t="shared" si="9"/>
        <v>115466.95000000001</v>
      </c>
      <c r="I57" s="137">
        <f t="shared" si="9"/>
        <v>19174.82</v>
      </c>
      <c r="J57" s="137">
        <f t="shared" si="9"/>
        <v>101497.93000000001</v>
      </c>
      <c r="K57" s="137">
        <f t="shared" si="9"/>
        <v>20991.29</v>
      </c>
      <c r="L57" s="137">
        <f t="shared" si="9"/>
        <v>60882.640000000007</v>
      </c>
      <c r="M57" s="137">
        <f t="shared" si="9"/>
        <v>87716.989999999991</v>
      </c>
      <c r="N57" s="138">
        <f t="shared" si="8"/>
        <v>656463.04999999993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4"/>
  <sheetViews>
    <sheetView zoomScale="110" zoomScaleNormal="110" zoomScalePageLayoutView="120" workbookViewId="0">
      <selection activeCell="E66" sqref="E66"/>
    </sheetView>
  </sheetViews>
  <sheetFormatPr defaultRowHeight="12.75" x14ac:dyDescent="0.2"/>
  <cols>
    <col min="1" max="1" width="71.5703125" style="1" customWidth="1"/>
    <col min="2" max="2" width="14.7109375" style="1" bestFit="1" customWidth="1"/>
    <col min="3" max="3" width="13.85546875" style="1" bestFit="1" customWidth="1"/>
    <col min="4" max="4" width="7.7109375" style="1" bestFit="1" customWidth="1"/>
    <col min="5" max="16384" width="9.140625" style="1"/>
  </cols>
  <sheetData>
    <row r="1" spans="1:4" x14ac:dyDescent="0.2">
      <c r="A1" s="162" t="s">
        <v>38</v>
      </c>
      <c r="B1" s="162"/>
      <c r="C1" s="162"/>
      <c r="D1" s="162"/>
    </row>
    <row r="2" spans="1:4" x14ac:dyDescent="0.2">
      <c r="A2" s="163" t="s">
        <v>39</v>
      </c>
      <c r="B2" s="163"/>
      <c r="C2" s="163"/>
      <c r="D2" s="163"/>
    </row>
    <row r="3" spans="1:4" x14ac:dyDescent="0.2">
      <c r="A3" s="163" t="s">
        <v>40</v>
      </c>
      <c r="B3" s="163"/>
      <c r="C3" s="163"/>
      <c r="D3" s="163"/>
    </row>
    <row r="4" spans="1:4" ht="13.5" thickBot="1" x14ac:dyDescent="0.25">
      <c r="B4" s="2"/>
      <c r="C4" s="2"/>
      <c r="D4" s="2"/>
    </row>
    <row r="5" spans="1:4" s="28" customFormat="1" ht="15.75" customHeight="1" thickBot="1" x14ac:dyDescent="0.3">
      <c r="A5" s="33" t="s">
        <v>41</v>
      </c>
      <c r="B5" s="34" t="s">
        <v>42</v>
      </c>
      <c r="C5" s="35" t="s">
        <v>1</v>
      </c>
      <c r="D5" s="36" t="s">
        <v>43</v>
      </c>
    </row>
    <row r="6" spans="1:4" s="28" customFormat="1" ht="25.5" customHeight="1" thickBot="1" x14ac:dyDescent="0.3">
      <c r="A6" s="37" t="s">
        <v>44</v>
      </c>
      <c r="B6" s="38"/>
      <c r="C6" s="7">
        <v>10000000</v>
      </c>
      <c r="D6" s="6">
        <v>1</v>
      </c>
    </row>
    <row r="7" spans="1:4" s="28" customFormat="1" ht="7.5" customHeight="1" thickBot="1" x14ac:dyDescent="0.3">
      <c r="A7" s="39"/>
      <c r="B7" s="40"/>
      <c r="C7" s="41"/>
      <c r="D7" s="42"/>
    </row>
    <row r="8" spans="1:4" s="28" customFormat="1" ht="15.75" customHeight="1" thickBot="1" x14ac:dyDescent="0.3">
      <c r="A8" s="157" t="s">
        <v>45</v>
      </c>
      <c r="B8" s="158"/>
      <c r="C8" s="74">
        <f>SUM(C9)+(C13)</f>
        <v>81981.659999999247</v>
      </c>
      <c r="D8" s="43"/>
    </row>
    <row r="9" spans="1:4" s="28" customFormat="1" ht="13.5" customHeight="1" thickBot="1" x14ac:dyDescent="0.3">
      <c r="A9" s="44" t="s">
        <v>46</v>
      </c>
      <c r="B9" s="45"/>
      <c r="C9" s="74">
        <f>SUM(B11)-(B10)-(B12)</f>
        <v>106717.41999999926</v>
      </c>
      <c r="D9" s="42"/>
    </row>
    <row r="10" spans="1:4" s="28" customFormat="1" ht="13.5" customHeight="1" x14ac:dyDescent="0.25">
      <c r="A10" s="46" t="s">
        <v>47</v>
      </c>
      <c r="B10" s="30">
        <v>10000000</v>
      </c>
      <c r="C10" s="47"/>
      <c r="D10" s="42"/>
    </row>
    <row r="11" spans="1:4" s="28" customFormat="1" ht="13.5" customHeight="1" x14ac:dyDescent="0.25">
      <c r="A11" s="46" t="s">
        <v>48</v>
      </c>
      <c r="B11" s="30">
        <f>'Relatório Arrecadação 2023'!N8+'Relatório Arrecadação 2023'!N9</f>
        <v>10113355.199999999</v>
      </c>
      <c r="C11" s="45"/>
      <c r="D11" s="42"/>
    </row>
    <row r="12" spans="1:4" s="28" customFormat="1" ht="13.5" customHeight="1" x14ac:dyDescent="0.25">
      <c r="A12" s="46" t="s">
        <v>49</v>
      </c>
      <c r="B12" s="30">
        <v>6637.78</v>
      </c>
      <c r="C12" s="86"/>
      <c r="D12" s="42"/>
    </row>
    <row r="13" spans="1:4" s="28" customFormat="1" ht="13.5" customHeight="1" thickBot="1" x14ac:dyDescent="0.3">
      <c r="A13" s="49" t="s">
        <v>50</v>
      </c>
      <c r="B13" s="45"/>
      <c r="C13" s="74">
        <f>(B14)-(B15)</f>
        <v>-24735.760000000009</v>
      </c>
      <c r="D13" s="42"/>
    </row>
    <row r="14" spans="1:4" s="28" customFormat="1" ht="13.5" customHeight="1" x14ac:dyDescent="0.25">
      <c r="A14" s="46" t="s">
        <v>51</v>
      </c>
      <c r="B14" s="30">
        <v>1000000</v>
      </c>
      <c r="C14" s="29"/>
      <c r="D14" s="42"/>
    </row>
    <row r="15" spans="1:4" s="28" customFormat="1" ht="24.75" customHeight="1" x14ac:dyDescent="0.25">
      <c r="A15" s="85" t="s">
        <v>52</v>
      </c>
      <c r="B15" s="30">
        <f>'Relatório Arrecadação 2023'!N16</f>
        <v>1024735.76</v>
      </c>
      <c r="C15" s="48"/>
      <c r="D15" s="42"/>
    </row>
    <row r="16" spans="1:4" s="28" customFormat="1" ht="7.5" customHeight="1" x14ac:dyDescent="0.25">
      <c r="A16" s="50"/>
      <c r="B16" s="51"/>
      <c r="C16" s="51"/>
      <c r="D16" s="42"/>
    </row>
    <row r="17" spans="1:4" s="28" customFormat="1" ht="15.75" customHeight="1" x14ac:dyDescent="0.25">
      <c r="A17" s="157" t="s">
        <v>53</v>
      </c>
      <c r="B17" s="159"/>
      <c r="C17" s="158"/>
      <c r="D17" s="52"/>
    </row>
    <row r="18" spans="1:4" s="28" customFormat="1" ht="13.5" customHeight="1" thickBot="1" x14ac:dyDescent="0.3">
      <c r="A18" s="53" t="s">
        <v>54</v>
      </c>
      <c r="B18" s="54"/>
      <c r="C18" s="75">
        <f>C6*D18</f>
        <v>1000000</v>
      </c>
      <c r="D18" s="5">
        <v>0.1</v>
      </c>
    </row>
    <row r="19" spans="1:4" s="28" customFormat="1" ht="13.5" customHeight="1" x14ac:dyDescent="0.25">
      <c r="A19" s="46" t="s">
        <v>55</v>
      </c>
      <c r="B19" s="8">
        <f>'Plano de Custeio '!B9</f>
        <v>75500</v>
      </c>
      <c r="C19" s="55"/>
      <c r="D19" s="56"/>
    </row>
    <row r="20" spans="1:4" s="28" customFormat="1" ht="13.5" customHeight="1" x14ac:dyDescent="0.25">
      <c r="A20" s="46" t="s">
        <v>56</v>
      </c>
      <c r="B20" s="8">
        <f>'Plano de Custeio '!B27</f>
        <v>186100</v>
      </c>
      <c r="C20" s="45"/>
      <c r="D20" s="42"/>
    </row>
    <row r="21" spans="1:4" s="28" customFormat="1" ht="13.5" customHeight="1" x14ac:dyDescent="0.25">
      <c r="A21" s="46" t="s">
        <v>57</v>
      </c>
      <c r="B21" s="8">
        <f>'Plano de Custeio '!B35</f>
        <v>56000</v>
      </c>
      <c r="C21" s="45"/>
      <c r="D21" s="42"/>
    </row>
    <row r="22" spans="1:4" s="28" customFormat="1" ht="13.5" customHeight="1" x14ac:dyDescent="0.25">
      <c r="A22" s="46" t="s">
        <v>58</v>
      </c>
      <c r="B22" s="32">
        <f>'Plano de Custeio '!B53</f>
        <v>682400</v>
      </c>
      <c r="C22" s="57"/>
      <c r="D22" s="43"/>
    </row>
    <row r="23" spans="1:4" s="28" customFormat="1" ht="13.5" customHeight="1" thickBot="1" x14ac:dyDescent="0.3">
      <c r="A23" s="58" t="s">
        <v>59</v>
      </c>
      <c r="B23" s="9">
        <v>0</v>
      </c>
      <c r="C23" s="59"/>
      <c r="D23" s="43"/>
    </row>
    <row r="24" spans="1:4" s="28" customFormat="1" ht="7.5" customHeight="1" thickBot="1" x14ac:dyDescent="0.3">
      <c r="A24" s="60"/>
      <c r="B24" s="61"/>
      <c r="C24" s="61"/>
      <c r="D24" s="42"/>
    </row>
    <row r="25" spans="1:4" s="28" customFormat="1" ht="15.75" customHeight="1" thickBot="1" x14ac:dyDescent="0.3">
      <c r="A25" s="157" t="s">
        <v>60</v>
      </c>
      <c r="B25" s="158"/>
      <c r="C25" s="74">
        <f>(C26)+(C31)+(C36)+(C41)+(C46)</f>
        <v>3010329.6000000006</v>
      </c>
      <c r="D25" s="42"/>
    </row>
    <row r="26" spans="1:4" s="28" customFormat="1" ht="13.5" customHeight="1" thickBot="1" x14ac:dyDescent="0.3">
      <c r="A26" s="44" t="s">
        <v>61</v>
      </c>
      <c r="B26" s="45"/>
      <c r="C26" s="74">
        <f>SUM(B30)+(B29)</f>
        <v>4688942.66</v>
      </c>
      <c r="D26" s="42"/>
    </row>
    <row r="27" spans="1:4" s="28" customFormat="1" ht="13.5" customHeight="1" x14ac:dyDescent="0.25">
      <c r="A27" s="46" t="s">
        <v>62</v>
      </c>
      <c r="B27" s="78">
        <v>4320000</v>
      </c>
      <c r="C27" s="47"/>
      <c r="D27" s="42"/>
    </row>
    <row r="28" spans="1:4" s="28" customFormat="1" ht="13.5" customHeight="1" x14ac:dyDescent="0.25">
      <c r="A28" s="46" t="s">
        <v>63</v>
      </c>
      <c r="B28" s="78">
        <f>'Relatório Arrecadação 2023'!N7</f>
        <v>4503942.66</v>
      </c>
      <c r="C28" s="45"/>
      <c r="D28" s="42"/>
    </row>
    <row r="29" spans="1:4" s="28" customFormat="1" ht="13.5" customHeight="1" x14ac:dyDescent="0.25">
      <c r="A29" s="46" t="s">
        <v>64</v>
      </c>
      <c r="B29" s="79">
        <f>(B28)-(B27)</f>
        <v>183942.66000000015</v>
      </c>
      <c r="C29" s="45"/>
      <c r="D29" s="42"/>
    </row>
    <row r="30" spans="1:4" s="28" customFormat="1" ht="13.5" customHeight="1" thickBot="1" x14ac:dyDescent="0.3">
      <c r="A30" s="46" t="s">
        <v>65</v>
      </c>
      <c r="B30" s="78">
        <v>4505000</v>
      </c>
      <c r="C30" s="48"/>
      <c r="D30" s="42"/>
    </row>
    <row r="31" spans="1:4" s="28" customFormat="1" ht="13.5" customHeight="1" thickBot="1" x14ac:dyDescent="0.3">
      <c r="A31" s="49" t="s">
        <v>66</v>
      </c>
      <c r="B31" s="45"/>
      <c r="C31" s="74">
        <f>SUM(B34)-(B35)</f>
        <v>-724150.01</v>
      </c>
      <c r="D31" s="42"/>
    </row>
    <row r="32" spans="1:4" s="28" customFormat="1" ht="13.5" customHeight="1" x14ac:dyDescent="0.25">
      <c r="A32" s="46" t="s">
        <v>67</v>
      </c>
      <c r="B32" s="10">
        <v>755000</v>
      </c>
      <c r="C32" s="47"/>
      <c r="D32" s="42"/>
    </row>
    <row r="33" spans="1:4" s="28" customFormat="1" ht="13.5" customHeight="1" x14ac:dyDescent="0.25">
      <c r="A33" s="46" t="s">
        <v>68</v>
      </c>
      <c r="B33" s="10">
        <f>'Relatório Arrecadação 2023'!N17+'Relatório Arrecadação 2023'!N20</f>
        <v>739150.01</v>
      </c>
      <c r="C33" s="45"/>
      <c r="D33" s="42"/>
    </row>
    <row r="34" spans="1:4" s="28" customFormat="1" ht="13.5" customHeight="1" x14ac:dyDescent="0.25">
      <c r="A34" s="46" t="s">
        <v>69</v>
      </c>
      <c r="B34" s="80">
        <f>(B32)-(B33)</f>
        <v>15849.989999999991</v>
      </c>
      <c r="C34" s="45"/>
      <c r="D34" s="42"/>
    </row>
    <row r="35" spans="1:4" s="28" customFormat="1" ht="13.5" customHeight="1" thickBot="1" x14ac:dyDescent="0.3">
      <c r="A35" s="46" t="s">
        <v>70</v>
      </c>
      <c r="B35" s="143">
        <v>740000</v>
      </c>
      <c r="C35" s="48"/>
      <c r="D35" s="42"/>
    </row>
    <row r="36" spans="1:4" s="28" customFormat="1" ht="13.5" customHeight="1" thickBot="1" x14ac:dyDescent="0.3">
      <c r="A36" s="49" t="s">
        <v>71</v>
      </c>
      <c r="B36" s="45"/>
      <c r="C36" s="74">
        <f>SUM(B39)-(B40)</f>
        <v>-191412.58000000002</v>
      </c>
      <c r="D36" s="42"/>
    </row>
    <row r="37" spans="1:4" s="28" customFormat="1" ht="13.5" customHeight="1" x14ac:dyDescent="0.25">
      <c r="A37" s="46" t="s">
        <v>72</v>
      </c>
      <c r="B37" s="31">
        <v>80000</v>
      </c>
      <c r="C37" s="47"/>
      <c r="D37" s="42"/>
    </row>
    <row r="38" spans="1:4" s="28" customFormat="1" ht="13.5" customHeight="1" x14ac:dyDescent="0.25">
      <c r="A38" s="46" t="s">
        <v>73</v>
      </c>
      <c r="B38" s="31">
        <f>'Relatório Arrecadação 2023'!N48</f>
        <v>135412.58000000002</v>
      </c>
      <c r="C38" s="45"/>
      <c r="D38" s="42"/>
    </row>
    <row r="39" spans="1:4" s="28" customFormat="1" ht="13.5" customHeight="1" x14ac:dyDescent="0.25">
      <c r="A39" s="46" t="s">
        <v>74</v>
      </c>
      <c r="B39" s="79">
        <f>(B37)-(B38)</f>
        <v>-55412.580000000016</v>
      </c>
      <c r="C39" s="45"/>
      <c r="D39" s="42"/>
    </row>
    <row r="40" spans="1:4" s="28" customFormat="1" ht="13.5" customHeight="1" x14ac:dyDescent="0.25">
      <c r="A40" s="46" t="s">
        <v>75</v>
      </c>
      <c r="B40" s="144">
        <v>136000</v>
      </c>
      <c r="C40" s="62"/>
      <c r="D40" s="42"/>
    </row>
    <row r="41" spans="1:4" s="28" customFormat="1" ht="13.5" customHeight="1" thickBot="1" x14ac:dyDescent="0.3">
      <c r="A41" s="49" t="s">
        <v>76</v>
      </c>
      <c r="B41" s="45"/>
      <c r="C41" s="74">
        <f>SUM(B44)-(B45)</f>
        <v>-843050.47</v>
      </c>
      <c r="D41" s="42"/>
    </row>
    <row r="42" spans="1:4" s="28" customFormat="1" ht="13.5" customHeight="1" x14ac:dyDescent="0.25">
      <c r="A42" s="46" t="s">
        <v>77</v>
      </c>
      <c r="B42" s="31">
        <v>200000</v>
      </c>
      <c r="C42" s="47"/>
      <c r="D42" s="42"/>
    </row>
    <row r="43" spans="1:4" s="28" customFormat="1" ht="13.5" customHeight="1" x14ac:dyDescent="0.25">
      <c r="A43" s="46" t="s">
        <v>78</v>
      </c>
      <c r="B43" s="31">
        <f>'Relatório Arrecadação 2023'!N57-'Relatório Arrecadação 2023'!N48</f>
        <v>521050.46999999991</v>
      </c>
      <c r="C43" s="45"/>
      <c r="D43" s="42"/>
    </row>
    <row r="44" spans="1:4" s="28" customFormat="1" ht="13.5" customHeight="1" x14ac:dyDescent="0.25">
      <c r="A44" s="46" t="s">
        <v>79</v>
      </c>
      <c r="B44" s="80">
        <f>(B42)-(B43)</f>
        <v>-321050.46999999991</v>
      </c>
      <c r="C44" s="45"/>
      <c r="D44" s="42"/>
    </row>
    <row r="45" spans="1:4" s="28" customFormat="1" ht="13.5" customHeight="1" thickBot="1" x14ac:dyDescent="0.3">
      <c r="A45" s="46" t="s">
        <v>80</v>
      </c>
      <c r="B45" s="143">
        <v>522000</v>
      </c>
      <c r="C45" s="48"/>
      <c r="D45" s="42"/>
    </row>
    <row r="46" spans="1:4" s="28" customFormat="1" ht="13.5" customHeight="1" thickBot="1" x14ac:dyDescent="0.3">
      <c r="A46" s="49" t="s">
        <v>81</v>
      </c>
      <c r="B46" s="45"/>
      <c r="C46" s="74">
        <f>SUM(B49)-(B50)</f>
        <v>80000</v>
      </c>
      <c r="D46" s="42"/>
    </row>
    <row r="47" spans="1:4" s="28" customFormat="1" ht="13.5" customHeight="1" x14ac:dyDescent="0.25">
      <c r="A47" s="46" t="s">
        <v>82</v>
      </c>
      <c r="B47" s="31">
        <v>80000</v>
      </c>
      <c r="C47" s="47"/>
      <c r="D47" s="42"/>
    </row>
    <row r="48" spans="1:4" s="28" customFormat="1" ht="13.5" customHeight="1" x14ac:dyDescent="0.25">
      <c r="A48" s="46" t="s">
        <v>83</v>
      </c>
      <c r="B48" s="31">
        <v>0</v>
      </c>
      <c r="C48" s="45"/>
      <c r="D48" s="42"/>
    </row>
    <row r="49" spans="1:4" s="28" customFormat="1" ht="13.5" customHeight="1" x14ac:dyDescent="0.25">
      <c r="A49" s="46" t="s">
        <v>84</v>
      </c>
      <c r="B49" s="80">
        <f>(B47)-(B48)</f>
        <v>80000</v>
      </c>
      <c r="C49" s="45"/>
      <c r="D49" s="42"/>
    </row>
    <row r="50" spans="1:4" s="28" customFormat="1" ht="13.5" customHeight="1" thickBot="1" x14ac:dyDescent="0.3">
      <c r="A50" s="46" t="s">
        <v>85</v>
      </c>
      <c r="B50" s="145">
        <v>0</v>
      </c>
      <c r="C50" s="48"/>
      <c r="D50" s="42"/>
    </row>
    <row r="51" spans="1:4" s="28" customFormat="1" ht="7.5" customHeight="1" thickBot="1" x14ac:dyDescent="0.3">
      <c r="A51" s="50"/>
      <c r="B51" s="63"/>
      <c r="C51" s="63"/>
      <c r="D51" s="42"/>
    </row>
    <row r="52" spans="1:4" s="28" customFormat="1" ht="15.75" customHeight="1" thickBot="1" x14ac:dyDescent="0.3">
      <c r="A52" s="157" t="s">
        <v>86</v>
      </c>
      <c r="B52" s="158"/>
      <c r="C52" s="87">
        <f>SUM(B53)+(B54)+(B55)</f>
        <v>3092311.26</v>
      </c>
      <c r="D52" s="42"/>
    </row>
    <row r="53" spans="1:4" s="28" customFormat="1" ht="13.5" customHeight="1" x14ac:dyDescent="0.25">
      <c r="A53" s="88" t="s">
        <v>87</v>
      </c>
      <c r="B53" s="94">
        <f>C8</f>
        <v>81981.659999999247</v>
      </c>
      <c r="C53" s="91"/>
      <c r="D53" s="42"/>
    </row>
    <row r="54" spans="1:4" s="28" customFormat="1" ht="13.5" customHeight="1" x14ac:dyDescent="0.25">
      <c r="A54" s="89" t="s">
        <v>88</v>
      </c>
      <c r="B54" s="76">
        <f>C25</f>
        <v>3010329.6000000006</v>
      </c>
      <c r="C54" s="92"/>
      <c r="D54" s="42"/>
    </row>
    <row r="55" spans="1:4" s="28" customFormat="1" ht="13.5" customHeight="1" thickBot="1" x14ac:dyDescent="0.3">
      <c r="A55" s="90" t="s">
        <v>89</v>
      </c>
      <c r="B55" s="106">
        <v>0</v>
      </c>
      <c r="C55" s="93"/>
      <c r="D55" s="42"/>
    </row>
    <row r="56" spans="1:4" s="28" customFormat="1" ht="7.5" customHeight="1" thickBot="1" x14ac:dyDescent="0.3">
      <c r="A56" s="63"/>
      <c r="B56" s="63"/>
      <c r="C56" s="63"/>
      <c r="D56" s="42"/>
    </row>
    <row r="57" spans="1:4" s="28" customFormat="1" ht="15.75" customHeight="1" thickBot="1" x14ac:dyDescent="0.3">
      <c r="A57" s="157" t="s">
        <v>90</v>
      </c>
      <c r="B57" s="159"/>
      <c r="C57" s="158"/>
      <c r="D57" s="52"/>
    </row>
    <row r="58" spans="1:4" s="24" customFormat="1" ht="13.5" customHeight="1" thickBot="1" x14ac:dyDescent="0.3">
      <c r="A58" s="64" t="s">
        <v>91</v>
      </c>
      <c r="B58" s="65"/>
      <c r="C58" s="74">
        <f>(C6)-(C18)</f>
        <v>9000000</v>
      </c>
      <c r="D58" s="77">
        <f>SUM(D6)-(D18)</f>
        <v>0.9</v>
      </c>
    </row>
    <row r="59" spans="1:4" s="24" customFormat="1" ht="13.5" customHeight="1" x14ac:dyDescent="0.25">
      <c r="A59" s="66" t="s">
        <v>92</v>
      </c>
      <c r="B59" s="65"/>
      <c r="C59" s="25"/>
      <c r="D59" s="67"/>
    </row>
    <row r="60" spans="1:4" s="24" customFormat="1" ht="13.5" customHeight="1" x14ac:dyDescent="0.25">
      <c r="A60" s="66" t="s">
        <v>93</v>
      </c>
      <c r="B60" s="65"/>
      <c r="C60" s="26"/>
      <c r="D60" s="68"/>
    </row>
    <row r="61" spans="1:4" s="24" customFormat="1" ht="13.5" customHeight="1" x14ac:dyDescent="0.25">
      <c r="A61" s="66" t="s">
        <v>94</v>
      </c>
      <c r="B61" s="65"/>
      <c r="C61" s="81"/>
      <c r="D61" s="68"/>
    </row>
    <row r="62" spans="1:4" s="24" customFormat="1" ht="13.5" customHeight="1" thickBot="1" x14ac:dyDescent="0.3">
      <c r="A62" s="66" t="s">
        <v>95</v>
      </c>
      <c r="B62" s="65"/>
      <c r="C62" s="74">
        <f>B63</f>
        <v>0</v>
      </c>
      <c r="D62" s="68"/>
    </row>
    <row r="63" spans="1:4" s="24" customFormat="1" ht="13.5" customHeight="1" x14ac:dyDescent="0.25">
      <c r="A63" s="69" t="s">
        <v>96</v>
      </c>
      <c r="B63" s="27">
        <v>0</v>
      </c>
      <c r="C63" s="65"/>
      <c r="D63" s="68"/>
    </row>
    <row r="64" spans="1:4" s="24" customFormat="1" ht="13.5" customHeight="1" thickBot="1" x14ac:dyDescent="0.3">
      <c r="A64" s="66" t="s">
        <v>97</v>
      </c>
      <c r="B64" s="70"/>
      <c r="C64" s="107">
        <f>B65+B66+B67</f>
        <v>569211.09</v>
      </c>
      <c r="D64" s="68"/>
    </row>
    <row r="65" spans="1:4" s="24" customFormat="1" ht="13.5" customHeight="1" x14ac:dyDescent="0.25">
      <c r="A65" s="69" t="s">
        <v>98</v>
      </c>
      <c r="B65" s="155"/>
      <c r="C65" s="83"/>
      <c r="D65" s="68"/>
    </row>
    <row r="66" spans="1:4" s="24" customFormat="1" ht="13.5" customHeight="1" x14ac:dyDescent="0.25">
      <c r="A66" s="153" t="s">
        <v>99</v>
      </c>
      <c r="B66" s="156">
        <v>569211.09</v>
      </c>
      <c r="C66" s="154"/>
      <c r="D66" s="68"/>
    </row>
    <row r="67" spans="1:4" s="24" customFormat="1" ht="13.5" customHeight="1" x14ac:dyDescent="0.25">
      <c r="A67" s="69" t="s">
        <v>100</v>
      </c>
      <c r="B67" s="111"/>
      <c r="C67" s="84"/>
      <c r="D67" s="68"/>
    </row>
    <row r="68" spans="1:4" s="24" customFormat="1" ht="13.5" customHeight="1" thickBot="1" x14ac:dyDescent="0.3">
      <c r="A68" s="66" t="s">
        <v>101</v>
      </c>
      <c r="B68" s="70"/>
      <c r="C68" s="75">
        <f>(B69)+(B70)</f>
        <v>2598214.1899999976</v>
      </c>
      <c r="D68" s="68"/>
    </row>
    <row r="69" spans="1:4" s="24" customFormat="1" ht="30" customHeight="1" x14ac:dyDescent="0.25">
      <c r="A69" s="69" t="s">
        <v>102</v>
      </c>
      <c r="B69" s="27">
        <v>19429201.079999998</v>
      </c>
      <c r="C69" s="70"/>
      <c r="D69" s="68"/>
    </row>
    <row r="70" spans="1:4" s="24" customFormat="1" ht="36.75" thickBot="1" x14ac:dyDescent="0.3">
      <c r="A70" s="71" t="s">
        <v>103</v>
      </c>
      <c r="B70" s="112">
        <f>'Memória de cálculo Invest '!J69</f>
        <v>-16830986.890000001</v>
      </c>
      <c r="C70" s="73"/>
      <c r="D70" s="68"/>
    </row>
    <row r="71" spans="1:4" s="24" customFormat="1" ht="13.5" customHeight="1" x14ac:dyDescent="0.25">
      <c r="A71" s="66" t="s">
        <v>104</v>
      </c>
      <c r="B71" s="65"/>
      <c r="C71" s="82"/>
      <c r="D71" s="68"/>
    </row>
    <row r="72" spans="1:4" s="24" customFormat="1" ht="13.5" customHeight="1" thickBot="1" x14ac:dyDescent="0.3">
      <c r="A72" s="72" t="s">
        <v>105</v>
      </c>
      <c r="B72" s="73"/>
      <c r="C72" s="74">
        <f>C52</f>
        <v>3092311.26</v>
      </c>
      <c r="D72" s="68"/>
    </row>
    <row r="73" spans="1:4" s="28" customFormat="1" ht="15.75" customHeight="1" thickBot="1" x14ac:dyDescent="0.3">
      <c r="A73" s="160" t="s">
        <v>106</v>
      </c>
      <c r="B73" s="161"/>
      <c r="C73" s="74">
        <f>SUM(C58)-(C59)-(C60)-(C61)-(C62)+(C64)+(C68)+(C71)+(C72)</f>
        <v>15259736.539999997</v>
      </c>
      <c r="D73" s="42"/>
    </row>
    <row r="74" spans="1:4" ht="9" customHeight="1" x14ac:dyDescent="0.2">
      <c r="A74" s="3"/>
      <c r="B74" s="4"/>
      <c r="C74" s="4"/>
    </row>
  </sheetData>
  <sheetProtection password="D11B" sheet="1" formatCells="0" formatColumns="0" formatRows="0" insertColumns="0" insertRows="0" insertHyperlinks="0" deleteColumns="0" deleteRows="0"/>
  <mergeCells count="9">
    <mergeCell ref="A52:B52"/>
    <mergeCell ref="A17:C17"/>
    <mergeCell ref="A73:B73"/>
    <mergeCell ref="A57:C57"/>
    <mergeCell ref="A1:D1"/>
    <mergeCell ref="A2:D2"/>
    <mergeCell ref="A3:D3"/>
    <mergeCell ref="A8:B8"/>
    <mergeCell ref="A25:B25"/>
  </mergeCells>
  <pageMargins left="0.78740157480314965" right="0.23622047244094491" top="0.19685039370078741" bottom="0.19685039370078741" header="0.31496062992125984" footer="0.31496062992125984"/>
  <pageSetup paperSize="9" scale="8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showWhiteSpace="0" topLeftCell="F1" zoomScaleNormal="100" workbookViewId="0">
      <selection activeCell="F11" sqref="F11"/>
    </sheetView>
  </sheetViews>
  <sheetFormatPr defaultRowHeight="15" x14ac:dyDescent="0.25"/>
  <cols>
    <col min="1" max="1" width="58.42578125" style="16" bestFit="1" customWidth="1"/>
    <col min="2" max="2" width="15.7109375" style="16" bestFit="1" customWidth="1"/>
    <col min="3" max="3" width="11.85546875" style="16" customWidth="1"/>
    <col min="4" max="16384" width="9.140625" style="16"/>
  </cols>
  <sheetData>
    <row r="1" spans="1:3" x14ac:dyDescent="0.25">
      <c r="A1" s="164" t="s">
        <v>107</v>
      </c>
      <c r="B1" s="164"/>
      <c r="C1" s="164"/>
    </row>
    <row r="2" spans="1:3" ht="15" customHeight="1" x14ac:dyDescent="0.25">
      <c r="A2" s="164" t="s">
        <v>108</v>
      </c>
      <c r="B2" s="164"/>
      <c r="C2" s="164"/>
    </row>
    <row r="3" spans="1:3" ht="15" customHeight="1" x14ac:dyDescent="0.25">
      <c r="A3" s="164" t="s">
        <v>40</v>
      </c>
      <c r="B3" s="164"/>
      <c r="C3" s="164"/>
    </row>
    <row r="4" spans="1:3" ht="15" customHeight="1" x14ac:dyDescent="0.25">
      <c r="A4" s="17" t="s">
        <v>109</v>
      </c>
      <c r="B4" s="18" t="s">
        <v>110</v>
      </c>
      <c r="C4" s="19" t="s">
        <v>43</v>
      </c>
    </row>
    <row r="5" spans="1:3" ht="15" customHeight="1" x14ac:dyDescent="0.25">
      <c r="A5" s="20" t="s">
        <v>111</v>
      </c>
      <c r="B5" s="123"/>
      <c r="C5" s="124"/>
    </row>
    <row r="6" spans="1:3" ht="15" customHeight="1" x14ac:dyDescent="0.25">
      <c r="A6" s="21" t="s">
        <v>112</v>
      </c>
      <c r="B6" s="108">
        <v>75000</v>
      </c>
      <c r="C6" s="125">
        <f>B6/$B$54</f>
        <v>7.4999999999999997E-2</v>
      </c>
    </row>
    <row r="7" spans="1:3" ht="15" customHeight="1" x14ac:dyDescent="0.25">
      <c r="A7" s="21" t="s">
        <v>113</v>
      </c>
      <c r="B7" s="108">
        <v>0</v>
      </c>
      <c r="C7" s="125">
        <f>B7/$B$54</f>
        <v>0</v>
      </c>
    </row>
    <row r="8" spans="1:3" ht="15" customHeight="1" x14ac:dyDescent="0.25">
      <c r="A8" s="21" t="s">
        <v>114</v>
      </c>
      <c r="B8" s="108">
        <v>500</v>
      </c>
      <c r="C8" s="125">
        <f>B8/$B$54</f>
        <v>5.0000000000000001E-4</v>
      </c>
    </row>
    <row r="9" spans="1:3" x14ac:dyDescent="0.25">
      <c r="A9" s="22" t="s">
        <v>42</v>
      </c>
      <c r="B9" s="109">
        <f>SUM(B6:B8)</f>
        <v>75500</v>
      </c>
      <c r="C9" s="125">
        <f>B9/$B$54</f>
        <v>7.5499999999999998E-2</v>
      </c>
    </row>
    <row r="10" spans="1:3" x14ac:dyDescent="0.25">
      <c r="A10" s="23" t="s">
        <v>115</v>
      </c>
      <c r="B10" s="126"/>
      <c r="C10" s="127"/>
    </row>
    <row r="11" spans="1:3" x14ac:dyDescent="0.25">
      <c r="A11" s="22" t="s">
        <v>116</v>
      </c>
      <c r="B11" s="128"/>
      <c r="C11" s="125"/>
    </row>
    <row r="12" spans="1:3" x14ac:dyDescent="0.25">
      <c r="A12" s="21" t="s">
        <v>117</v>
      </c>
      <c r="B12" s="108">
        <v>17600</v>
      </c>
      <c r="C12" s="125">
        <f t="shared" ref="C12:C18" si="0">B12/$B$54</f>
        <v>1.7600000000000001E-2</v>
      </c>
    </row>
    <row r="13" spans="1:3" x14ac:dyDescent="0.25">
      <c r="A13" s="21" t="s">
        <v>118</v>
      </c>
      <c r="B13" s="108">
        <v>3000</v>
      </c>
      <c r="C13" s="125">
        <f t="shared" si="0"/>
        <v>3.0000000000000001E-3</v>
      </c>
    </row>
    <row r="14" spans="1:3" x14ac:dyDescent="0.25">
      <c r="A14" s="21" t="s">
        <v>119</v>
      </c>
      <c r="B14" s="108">
        <v>500</v>
      </c>
      <c r="C14" s="125">
        <f t="shared" si="0"/>
        <v>5.0000000000000001E-4</v>
      </c>
    </row>
    <row r="15" spans="1:3" x14ac:dyDescent="0.25">
      <c r="A15" s="21" t="s">
        <v>120</v>
      </c>
      <c r="B15" s="108">
        <v>3000</v>
      </c>
      <c r="C15" s="125">
        <f t="shared" si="0"/>
        <v>3.0000000000000001E-3</v>
      </c>
    </row>
    <row r="16" spans="1:3" x14ac:dyDescent="0.25">
      <c r="A16" s="21" t="s">
        <v>121</v>
      </c>
      <c r="B16" s="108">
        <v>1000</v>
      </c>
      <c r="C16" s="125">
        <f t="shared" si="0"/>
        <v>1E-3</v>
      </c>
    </row>
    <row r="17" spans="1:3" x14ac:dyDescent="0.25">
      <c r="A17" s="21" t="s">
        <v>122</v>
      </c>
      <c r="B17" s="108">
        <v>1000</v>
      </c>
      <c r="C17" s="125">
        <f t="shared" si="0"/>
        <v>1E-3</v>
      </c>
    </row>
    <row r="18" spans="1:3" x14ac:dyDescent="0.25">
      <c r="A18" s="22" t="s">
        <v>123</v>
      </c>
      <c r="B18" s="109">
        <f>SUM(B12:B17)</f>
        <v>26100</v>
      </c>
      <c r="C18" s="125">
        <f t="shared" si="0"/>
        <v>2.6100000000000002E-2</v>
      </c>
    </row>
    <row r="19" spans="1:3" x14ac:dyDescent="0.25">
      <c r="A19" s="22" t="s">
        <v>124</v>
      </c>
      <c r="B19" s="128"/>
      <c r="C19" s="125"/>
    </row>
    <row r="20" spans="1:3" x14ac:dyDescent="0.25">
      <c r="A20" s="21" t="s">
        <v>125</v>
      </c>
      <c r="B20" s="108">
        <v>110000</v>
      </c>
      <c r="C20" s="125">
        <f t="shared" ref="C20:C27" si="1">B20/$B$54</f>
        <v>0.11</v>
      </c>
    </row>
    <row r="21" spans="1:3" x14ac:dyDescent="0.25">
      <c r="A21" s="21" t="s">
        <v>126</v>
      </c>
      <c r="B21" s="108">
        <v>0</v>
      </c>
      <c r="C21" s="125">
        <f t="shared" si="1"/>
        <v>0</v>
      </c>
    </row>
    <row r="22" spans="1:3" x14ac:dyDescent="0.25">
      <c r="A22" s="21" t="s">
        <v>127</v>
      </c>
      <c r="B22" s="108">
        <v>50000</v>
      </c>
      <c r="C22" s="125">
        <f t="shared" si="1"/>
        <v>0.05</v>
      </c>
    </row>
    <row r="23" spans="1:3" x14ac:dyDescent="0.25">
      <c r="A23" s="21" t="s">
        <v>128</v>
      </c>
      <c r="B23" s="108">
        <v>0</v>
      </c>
      <c r="C23" s="125">
        <f t="shared" si="1"/>
        <v>0</v>
      </c>
    </row>
    <row r="24" spans="1:3" x14ac:dyDescent="0.25">
      <c r="A24" s="21" t="s">
        <v>129</v>
      </c>
      <c r="B24" s="108">
        <v>0</v>
      </c>
      <c r="C24" s="125">
        <f t="shared" si="1"/>
        <v>0</v>
      </c>
    </row>
    <row r="25" spans="1:3" x14ac:dyDescent="0.25">
      <c r="A25" s="21" t="s">
        <v>130</v>
      </c>
      <c r="B25" s="108">
        <v>0</v>
      </c>
      <c r="C25" s="125">
        <f t="shared" si="1"/>
        <v>0</v>
      </c>
    </row>
    <row r="26" spans="1:3" x14ac:dyDescent="0.25">
      <c r="A26" s="22" t="s">
        <v>123</v>
      </c>
      <c r="B26" s="109">
        <f>SUM(B20:B25)</f>
        <v>160000</v>
      </c>
      <c r="C26" s="125">
        <f t="shared" si="1"/>
        <v>0.16</v>
      </c>
    </row>
    <row r="27" spans="1:3" x14ac:dyDescent="0.25">
      <c r="A27" s="22" t="s">
        <v>131</v>
      </c>
      <c r="B27" s="109">
        <f>B18+B26</f>
        <v>186100</v>
      </c>
      <c r="C27" s="125">
        <f t="shared" si="1"/>
        <v>0.18609999999999999</v>
      </c>
    </row>
    <row r="28" spans="1:3" x14ac:dyDescent="0.25">
      <c r="A28" s="23" t="s">
        <v>132</v>
      </c>
      <c r="B28" s="129"/>
      <c r="C28" s="127"/>
    </row>
    <row r="29" spans="1:3" x14ac:dyDescent="0.25">
      <c r="A29" s="21" t="s">
        <v>133</v>
      </c>
      <c r="B29" s="108">
        <v>20000</v>
      </c>
      <c r="C29" s="125">
        <f t="shared" ref="C29:C35" si="2">B29/$B$54</f>
        <v>0.02</v>
      </c>
    </row>
    <row r="30" spans="1:3" x14ac:dyDescent="0.25">
      <c r="A30" s="21" t="s">
        <v>134</v>
      </c>
      <c r="B30" s="108">
        <v>1000</v>
      </c>
      <c r="C30" s="125">
        <f t="shared" si="2"/>
        <v>1E-3</v>
      </c>
    </row>
    <row r="31" spans="1:3" x14ac:dyDescent="0.25">
      <c r="A31" s="21" t="s">
        <v>135</v>
      </c>
      <c r="B31" s="108">
        <v>10000</v>
      </c>
      <c r="C31" s="125">
        <f t="shared" si="2"/>
        <v>0.01</v>
      </c>
    </row>
    <row r="32" spans="1:3" x14ac:dyDescent="0.25">
      <c r="A32" s="21" t="s">
        <v>136</v>
      </c>
      <c r="B32" s="108">
        <v>5000</v>
      </c>
      <c r="C32" s="125">
        <f t="shared" si="2"/>
        <v>5.0000000000000001E-3</v>
      </c>
    </row>
    <row r="33" spans="1:3" x14ac:dyDescent="0.25">
      <c r="A33" s="21" t="s">
        <v>137</v>
      </c>
      <c r="B33" s="108">
        <v>10000</v>
      </c>
      <c r="C33" s="125">
        <f t="shared" si="2"/>
        <v>0.01</v>
      </c>
    </row>
    <row r="34" spans="1:3" x14ac:dyDescent="0.25">
      <c r="A34" s="21" t="s">
        <v>138</v>
      </c>
      <c r="B34" s="108">
        <v>10000</v>
      </c>
      <c r="C34" s="125">
        <f t="shared" si="2"/>
        <v>0.01</v>
      </c>
    </row>
    <row r="35" spans="1:3" x14ac:dyDescent="0.25">
      <c r="A35" s="22" t="s">
        <v>42</v>
      </c>
      <c r="B35" s="109">
        <f>SUM(B29:B34)</f>
        <v>56000</v>
      </c>
      <c r="C35" s="125">
        <f t="shared" si="2"/>
        <v>5.6000000000000001E-2</v>
      </c>
    </row>
    <row r="36" spans="1:3" x14ac:dyDescent="0.25">
      <c r="A36" s="23" t="s">
        <v>139</v>
      </c>
      <c r="B36" s="126"/>
      <c r="C36" s="127"/>
    </row>
    <row r="37" spans="1:3" x14ac:dyDescent="0.25">
      <c r="A37" s="21" t="s">
        <v>140</v>
      </c>
      <c r="B37" s="108">
        <v>262000</v>
      </c>
      <c r="C37" s="125">
        <f t="shared" ref="C37:C53" si="3">B37/$B$54</f>
        <v>0.26200000000000001</v>
      </c>
    </row>
    <row r="38" spans="1:3" x14ac:dyDescent="0.25">
      <c r="A38" s="21" t="s">
        <v>141</v>
      </c>
      <c r="B38" s="108">
        <v>32000</v>
      </c>
      <c r="C38" s="125">
        <f t="shared" si="3"/>
        <v>3.2000000000000001E-2</v>
      </c>
    </row>
    <row r="39" spans="1:3" x14ac:dyDescent="0.25">
      <c r="A39" s="21" t="s">
        <v>142</v>
      </c>
      <c r="B39" s="108">
        <v>24000</v>
      </c>
      <c r="C39" s="125">
        <f t="shared" si="3"/>
        <v>2.4E-2</v>
      </c>
    </row>
    <row r="40" spans="1:3" x14ac:dyDescent="0.25">
      <c r="A40" s="21" t="s">
        <v>143</v>
      </c>
      <c r="B40" s="108">
        <v>29400</v>
      </c>
      <c r="C40" s="125">
        <f t="shared" si="3"/>
        <v>2.9399999999999999E-2</v>
      </c>
    </row>
    <row r="41" spans="1:3" x14ac:dyDescent="0.25">
      <c r="A41" s="21" t="s">
        <v>144</v>
      </c>
      <c r="B41" s="108">
        <v>1000</v>
      </c>
      <c r="C41" s="125">
        <f t="shared" si="3"/>
        <v>1E-3</v>
      </c>
    </row>
    <row r="42" spans="1:3" x14ac:dyDescent="0.25">
      <c r="A42" s="21" t="s">
        <v>145</v>
      </c>
      <c r="B42" s="108">
        <v>40000</v>
      </c>
      <c r="C42" s="125">
        <f t="shared" si="3"/>
        <v>0.04</v>
      </c>
    </row>
    <row r="43" spans="1:3" x14ac:dyDescent="0.25">
      <c r="A43" s="21" t="s">
        <v>146</v>
      </c>
      <c r="B43" s="108">
        <v>160000</v>
      </c>
      <c r="C43" s="125">
        <f t="shared" si="3"/>
        <v>0.16</v>
      </c>
    </row>
    <row r="44" spans="1:3" x14ac:dyDescent="0.25">
      <c r="A44" s="21" t="s">
        <v>147</v>
      </c>
      <c r="B44" s="108">
        <v>4000</v>
      </c>
      <c r="C44" s="125">
        <f t="shared" si="3"/>
        <v>4.0000000000000001E-3</v>
      </c>
    </row>
    <row r="45" spans="1:3" x14ac:dyDescent="0.25">
      <c r="A45" s="21" t="s">
        <v>148</v>
      </c>
      <c r="B45" s="108">
        <v>40000</v>
      </c>
      <c r="C45" s="125">
        <f t="shared" si="3"/>
        <v>0.04</v>
      </c>
    </row>
    <row r="46" spans="1:3" x14ac:dyDescent="0.25">
      <c r="A46" s="21" t="s">
        <v>149</v>
      </c>
      <c r="B46" s="108">
        <f>21000+2500</f>
        <v>23500</v>
      </c>
      <c r="C46" s="125">
        <f t="shared" si="3"/>
        <v>2.35E-2</v>
      </c>
    </row>
    <row r="47" spans="1:3" x14ac:dyDescent="0.25">
      <c r="A47" s="21" t="s">
        <v>150</v>
      </c>
      <c r="B47" s="108">
        <v>49000</v>
      </c>
      <c r="C47" s="125">
        <f t="shared" si="3"/>
        <v>4.9000000000000002E-2</v>
      </c>
    </row>
    <row r="48" spans="1:3" x14ac:dyDescent="0.25">
      <c r="A48" s="21" t="s">
        <v>151</v>
      </c>
      <c r="B48" s="108">
        <f>500+250*4</f>
        <v>1500</v>
      </c>
      <c r="C48" s="125">
        <f t="shared" si="3"/>
        <v>1.5E-3</v>
      </c>
    </row>
    <row r="49" spans="1:3" x14ac:dyDescent="0.25">
      <c r="A49" s="21" t="s">
        <v>152</v>
      </c>
      <c r="B49" s="108">
        <v>4000</v>
      </c>
      <c r="C49" s="125">
        <f t="shared" si="3"/>
        <v>4.0000000000000001E-3</v>
      </c>
    </row>
    <row r="50" spans="1:3" x14ac:dyDescent="0.25">
      <c r="A50" s="21" t="s">
        <v>153</v>
      </c>
      <c r="B50" s="108">
        <v>1000</v>
      </c>
      <c r="C50" s="125">
        <f t="shared" si="3"/>
        <v>1E-3</v>
      </c>
    </row>
    <row r="51" spans="1:3" x14ac:dyDescent="0.25">
      <c r="A51" s="21" t="s">
        <v>154</v>
      </c>
      <c r="B51" s="108">
        <v>10000</v>
      </c>
      <c r="C51" s="125">
        <f t="shared" si="3"/>
        <v>0.01</v>
      </c>
    </row>
    <row r="52" spans="1:3" x14ac:dyDescent="0.25">
      <c r="A52" s="21" t="s">
        <v>155</v>
      </c>
      <c r="B52" s="108">
        <v>1000</v>
      </c>
      <c r="C52" s="125">
        <f t="shared" si="3"/>
        <v>1E-3</v>
      </c>
    </row>
    <row r="53" spans="1:3" x14ac:dyDescent="0.25">
      <c r="A53" s="22" t="s">
        <v>42</v>
      </c>
      <c r="B53" s="110">
        <f>SUM(B37:B52)</f>
        <v>682400</v>
      </c>
      <c r="C53" s="125">
        <f t="shared" si="3"/>
        <v>0.68240000000000001</v>
      </c>
    </row>
    <row r="54" spans="1:3" x14ac:dyDescent="0.25">
      <c r="A54" s="130" t="s">
        <v>156</v>
      </c>
      <c r="B54" s="131">
        <f>SUM(B9+B18+B26+B35+B53)</f>
        <v>1000000</v>
      </c>
      <c r="C54" s="132" t="s">
        <v>157</v>
      </c>
    </row>
  </sheetData>
  <mergeCells count="3">
    <mergeCell ref="A1:C1"/>
    <mergeCell ref="A2:C2"/>
    <mergeCell ref="A3:C3"/>
  </mergeCells>
  <pageMargins left="1.1811023622047245" right="0.23622047244094491" top="0.74803149606299213" bottom="0.74803149606299213" header="0.31496062992125984" footer="0.31496062992125984"/>
  <pageSetup paperSize="9"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0"/>
  <sheetViews>
    <sheetView tabSelected="1" topLeftCell="A48" zoomScale="110" zoomScaleNormal="110" workbookViewId="0">
      <selection activeCell="J35" sqref="J35:J67"/>
    </sheetView>
  </sheetViews>
  <sheetFormatPr defaultRowHeight="15" x14ac:dyDescent="0.25"/>
  <cols>
    <col min="1" max="1" width="15.85546875" bestFit="1" customWidth="1"/>
    <col min="2" max="2" width="9.7109375" customWidth="1"/>
    <col min="3" max="3" width="11.7109375" customWidth="1"/>
    <col min="4" max="5" width="10.7109375" customWidth="1"/>
    <col min="6" max="11" width="17.7109375" customWidth="1"/>
  </cols>
  <sheetData>
    <row r="1" spans="1:11" x14ac:dyDescent="0.25">
      <c r="A1" s="164" t="s">
        <v>158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76" t="s">
        <v>159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5" customHeight="1" x14ac:dyDescent="0.25">
      <c r="A3" s="164" t="s">
        <v>40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1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5" customHeight="1" x14ac:dyDescent="0.25">
      <c r="A5" s="167" t="s">
        <v>160</v>
      </c>
      <c r="B5" s="168"/>
      <c r="C5" s="168"/>
      <c r="D5" s="168"/>
      <c r="E5" s="168"/>
      <c r="F5" s="168"/>
      <c r="G5" s="168"/>
      <c r="H5" s="168"/>
      <c r="I5" s="168"/>
      <c r="J5" s="168"/>
      <c r="K5" s="169"/>
    </row>
    <row r="6" spans="1:11" ht="52.5" customHeight="1" x14ac:dyDescent="0.25">
      <c r="A6" s="96" t="s">
        <v>161</v>
      </c>
      <c r="B6" s="170" t="s">
        <v>162</v>
      </c>
      <c r="C6" s="170"/>
      <c r="D6" s="170"/>
      <c r="E6" s="170"/>
      <c r="F6" s="170" t="s">
        <v>163</v>
      </c>
      <c r="G6" s="170"/>
      <c r="H6" s="170" t="s">
        <v>164</v>
      </c>
      <c r="I6" s="170"/>
      <c r="J6" s="170"/>
      <c r="K6" s="103" t="s">
        <v>163</v>
      </c>
    </row>
    <row r="7" spans="1:11" x14ac:dyDescent="0.25">
      <c r="A7" s="118" t="s">
        <v>165</v>
      </c>
      <c r="B7" s="171" t="s">
        <v>166</v>
      </c>
      <c r="C7" s="171"/>
      <c r="D7" s="171"/>
      <c r="E7" s="171"/>
      <c r="F7" s="171" t="s">
        <v>166</v>
      </c>
      <c r="G7" s="171"/>
      <c r="H7" s="171" t="s">
        <v>167</v>
      </c>
      <c r="I7" s="171"/>
      <c r="J7" s="171"/>
      <c r="K7" s="104" t="s">
        <v>168</v>
      </c>
    </row>
    <row r="8" spans="1:11" x14ac:dyDescent="0.25">
      <c r="A8" s="97" t="s">
        <v>169</v>
      </c>
      <c r="B8" s="171" t="s">
        <v>170</v>
      </c>
      <c r="C8" s="171"/>
      <c r="D8" s="171"/>
      <c r="E8" s="171"/>
      <c r="F8" s="171" t="s">
        <v>171</v>
      </c>
      <c r="G8" s="171"/>
      <c r="H8" s="171" t="s">
        <v>172</v>
      </c>
      <c r="I8" s="171"/>
      <c r="J8" s="171"/>
      <c r="K8" s="104" t="s">
        <v>168</v>
      </c>
    </row>
    <row r="9" spans="1:11" x14ac:dyDescent="0.25">
      <c r="A9" s="119" t="s">
        <v>173</v>
      </c>
      <c r="B9" s="171" t="s">
        <v>166</v>
      </c>
      <c r="C9" s="171"/>
      <c r="D9" s="171"/>
      <c r="E9" s="171"/>
      <c r="F9" s="171" t="s">
        <v>166</v>
      </c>
      <c r="G9" s="171"/>
      <c r="H9" s="171" t="s">
        <v>172</v>
      </c>
      <c r="I9" s="171"/>
      <c r="J9" s="171"/>
      <c r="K9" s="104" t="s">
        <v>168</v>
      </c>
    </row>
    <row r="10" spans="1:11" x14ac:dyDescent="0.25">
      <c r="A10" s="117" t="s">
        <v>174</v>
      </c>
      <c r="B10" s="171" t="s">
        <v>175</v>
      </c>
      <c r="C10" s="171"/>
      <c r="D10" s="171"/>
      <c r="E10" s="171"/>
      <c r="F10" s="171" t="s">
        <v>171</v>
      </c>
      <c r="G10" s="171"/>
      <c r="H10" s="171" t="s">
        <v>175</v>
      </c>
      <c r="I10" s="171"/>
      <c r="J10" s="171"/>
      <c r="K10" s="104" t="s">
        <v>171</v>
      </c>
    </row>
    <row r="11" spans="1:11" ht="15.75" thickBot="1" x14ac:dyDescent="0.3">
      <c r="A11" s="116" t="s">
        <v>176</v>
      </c>
      <c r="B11" s="172" t="s">
        <v>177</v>
      </c>
      <c r="C11" s="172"/>
      <c r="D11" s="172"/>
      <c r="E11" s="172"/>
      <c r="F11" s="172" t="s">
        <v>171</v>
      </c>
      <c r="G11" s="172"/>
      <c r="H11" s="172" t="s">
        <v>166</v>
      </c>
      <c r="I11" s="172"/>
      <c r="J11" s="172"/>
      <c r="K11" s="105" t="s">
        <v>166</v>
      </c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1.25" customHeight="1" x14ac:dyDescent="0.25"/>
    <row r="14" spans="1:11" ht="11.25" customHeight="1" thickBot="1" x14ac:dyDescent="0.3"/>
    <row r="15" spans="1:11" ht="37.5" customHeight="1" x14ac:dyDescent="0.25">
      <c r="A15" s="98" t="s">
        <v>178</v>
      </c>
      <c r="B15" s="99" t="s">
        <v>179</v>
      </c>
      <c r="C15" s="99" t="s">
        <v>180</v>
      </c>
      <c r="D15" s="99" t="s">
        <v>181</v>
      </c>
      <c r="E15" s="99" t="s">
        <v>182</v>
      </c>
      <c r="F15" s="99" t="s">
        <v>183</v>
      </c>
      <c r="G15" s="99" t="s">
        <v>184</v>
      </c>
      <c r="H15" s="99" t="s">
        <v>185</v>
      </c>
      <c r="I15" s="99" t="s">
        <v>186</v>
      </c>
      <c r="J15" s="99" t="s">
        <v>187</v>
      </c>
      <c r="K15" s="100" t="s">
        <v>188</v>
      </c>
    </row>
    <row r="16" spans="1:11" ht="11.25" customHeight="1" x14ac:dyDescent="0.25">
      <c r="A16" s="101" t="s">
        <v>189</v>
      </c>
      <c r="B16" s="13" t="s">
        <v>190</v>
      </c>
      <c r="C16" s="115" t="s">
        <v>174</v>
      </c>
      <c r="D16" s="14">
        <v>41625</v>
      </c>
      <c r="E16" s="14">
        <v>45100</v>
      </c>
      <c r="F16" s="15">
        <v>358988.48</v>
      </c>
      <c r="G16" s="15">
        <v>358988.48</v>
      </c>
      <c r="H16" s="12" t="s">
        <v>166</v>
      </c>
      <c r="I16" s="15">
        <v>358916.02</v>
      </c>
      <c r="J16" s="121">
        <f>G16-I16</f>
        <v>72.459999999962747</v>
      </c>
      <c r="K16" s="102"/>
    </row>
    <row r="17" spans="1:11" ht="11.25" customHeight="1" x14ac:dyDescent="0.25">
      <c r="A17" s="101" t="s">
        <v>191</v>
      </c>
      <c r="B17" s="13" t="s">
        <v>192</v>
      </c>
      <c r="C17" s="115" t="s">
        <v>174</v>
      </c>
      <c r="D17" s="14">
        <v>41751</v>
      </c>
      <c r="E17" s="14">
        <v>45090</v>
      </c>
      <c r="F17" s="15">
        <v>252695</v>
      </c>
      <c r="G17" s="15">
        <v>252695</v>
      </c>
      <c r="H17" s="12" t="s">
        <v>166</v>
      </c>
      <c r="I17" s="15">
        <v>227425.5</v>
      </c>
      <c r="J17" s="121">
        <f t="shared" ref="J17:J32" si="0">G17-I17</f>
        <v>25269.5</v>
      </c>
      <c r="K17" s="102"/>
    </row>
    <row r="18" spans="1:11" ht="11.25" customHeight="1" x14ac:dyDescent="0.25">
      <c r="A18" s="101" t="s">
        <v>193</v>
      </c>
      <c r="B18" s="13" t="s">
        <v>194</v>
      </c>
      <c r="C18" s="115" t="s">
        <v>174</v>
      </c>
      <c r="D18" s="14">
        <v>42142</v>
      </c>
      <c r="E18" s="14">
        <v>45286</v>
      </c>
      <c r="F18" s="15">
        <v>317096</v>
      </c>
      <c r="G18" s="15">
        <v>303012.59999999998</v>
      </c>
      <c r="H18" s="12" t="s">
        <v>166</v>
      </c>
      <c r="I18" s="15">
        <v>226463.6</v>
      </c>
      <c r="J18" s="121">
        <f t="shared" si="0"/>
        <v>76548.999999999971</v>
      </c>
      <c r="K18" s="102"/>
    </row>
    <row r="19" spans="1:11" ht="11.25" customHeight="1" x14ac:dyDescent="0.25">
      <c r="A19" s="101" t="s">
        <v>195</v>
      </c>
      <c r="B19" s="13" t="s">
        <v>196</v>
      </c>
      <c r="C19" s="115" t="s">
        <v>174</v>
      </c>
      <c r="D19" s="14">
        <v>42135</v>
      </c>
      <c r="E19" s="14">
        <v>45100</v>
      </c>
      <c r="F19" s="15">
        <v>193056</v>
      </c>
      <c r="G19" s="15">
        <v>193056</v>
      </c>
      <c r="H19" s="12" t="s">
        <v>166</v>
      </c>
      <c r="I19" s="15">
        <v>52319.22</v>
      </c>
      <c r="J19" s="121">
        <f t="shared" si="0"/>
        <v>140736.78</v>
      </c>
      <c r="K19" s="102"/>
    </row>
    <row r="20" spans="1:11" ht="11.25" customHeight="1" x14ac:dyDescent="0.25">
      <c r="A20" s="101" t="s">
        <v>197</v>
      </c>
      <c r="B20" s="13" t="s">
        <v>198</v>
      </c>
      <c r="C20" s="115" t="s">
        <v>174</v>
      </c>
      <c r="D20" s="14">
        <v>42426</v>
      </c>
      <c r="E20" s="14">
        <v>45089</v>
      </c>
      <c r="F20" s="15">
        <v>136923.5</v>
      </c>
      <c r="G20" s="15">
        <v>136923.5</v>
      </c>
      <c r="H20" s="12" t="s">
        <v>166</v>
      </c>
      <c r="I20" s="15">
        <v>136923.5</v>
      </c>
      <c r="J20" s="121">
        <f t="shared" si="0"/>
        <v>0</v>
      </c>
      <c r="K20" s="102"/>
    </row>
    <row r="21" spans="1:11" ht="11.25" customHeight="1" x14ac:dyDescent="0.25">
      <c r="A21" s="101" t="s">
        <v>199</v>
      </c>
      <c r="B21" s="13" t="s">
        <v>200</v>
      </c>
      <c r="C21" s="115" t="s">
        <v>174</v>
      </c>
      <c r="D21" s="14">
        <v>42396</v>
      </c>
      <c r="E21" s="14">
        <v>45320</v>
      </c>
      <c r="F21" s="15">
        <v>595386.64</v>
      </c>
      <c r="G21" s="15">
        <v>316745.84000000003</v>
      </c>
      <c r="H21" s="12"/>
      <c r="I21" s="15">
        <v>192484.37</v>
      </c>
      <c r="J21" s="121">
        <f t="shared" si="0"/>
        <v>124261.47000000003</v>
      </c>
      <c r="K21" s="102"/>
    </row>
    <row r="22" spans="1:11" ht="11.25" customHeight="1" x14ac:dyDescent="0.25">
      <c r="A22" s="101" t="s">
        <v>201</v>
      </c>
      <c r="B22" s="13" t="s">
        <v>202</v>
      </c>
      <c r="C22" s="115" t="s">
        <v>174</v>
      </c>
      <c r="D22" s="14">
        <v>42417</v>
      </c>
      <c r="E22" s="14">
        <v>45065</v>
      </c>
      <c r="F22" s="15">
        <v>197370</v>
      </c>
      <c r="G22" s="15">
        <v>197370</v>
      </c>
      <c r="H22" s="12" t="s">
        <v>166</v>
      </c>
      <c r="I22" s="15">
        <v>156915.5</v>
      </c>
      <c r="J22" s="121">
        <f t="shared" si="0"/>
        <v>40454.5</v>
      </c>
      <c r="K22" s="102"/>
    </row>
    <row r="23" spans="1:11" ht="11.25" customHeight="1" x14ac:dyDescent="0.25">
      <c r="A23" s="101" t="s">
        <v>203</v>
      </c>
      <c r="B23" s="13" t="s">
        <v>204</v>
      </c>
      <c r="C23" s="115" t="s">
        <v>174</v>
      </c>
      <c r="D23" s="14">
        <v>42348</v>
      </c>
      <c r="E23" s="14">
        <v>45104</v>
      </c>
      <c r="F23" s="15">
        <v>629279.89</v>
      </c>
      <c r="G23" s="15">
        <v>626508.68999999994</v>
      </c>
      <c r="H23" s="12" t="s">
        <v>166</v>
      </c>
      <c r="I23" s="15">
        <v>522847.83</v>
      </c>
      <c r="J23" s="121">
        <f t="shared" si="0"/>
        <v>103660.85999999993</v>
      </c>
      <c r="K23" s="102"/>
    </row>
    <row r="24" spans="1:11" ht="11.25" customHeight="1" x14ac:dyDescent="0.25">
      <c r="A24" s="101" t="s">
        <v>205</v>
      </c>
      <c r="B24" s="13" t="s">
        <v>206</v>
      </c>
      <c r="C24" s="115" t="s">
        <v>174</v>
      </c>
      <c r="D24" s="14">
        <v>42396</v>
      </c>
      <c r="E24" s="14">
        <v>45068</v>
      </c>
      <c r="F24" s="15">
        <v>315072.52</v>
      </c>
      <c r="G24" s="15">
        <v>315072.52</v>
      </c>
      <c r="H24" s="12" t="s">
        <v>166</v>
      </c>
      <c r="I24" s="15">
        <v>281092.52</v>
      </c>
      <c r="J24" s="121">
        <f t="shared" si="0"/>
        <v>33980</v>
      </c>
      <c r="K24" s="102"/>
    </row>
    <row r="25" spans="1:11" ht="11.25" customHeight="1" x14ac:dyDescent="0.25">
      <c r="A25" s="101" t="s">
        <v>207</v>
      </c>
      <c r="B25" s="13" t="s">
        <v>208</v>
      </c>
      <c r="C25" s="115" t="s">
        <v>174</v>
      </c>
      <c r="D25" s="14">
        <v>42852</v>
      </c>
      <c r="E25" s="14">
        <v>45068</v>
      </c>
      <c r="F25" s="122">
        <v>345167.9</v>
      </c>
      <c r="G25" s="15">
        <v>345167.88</v>
      </c>
      <c r="H25" s="12" t="s">
        <v>166</v>
      </c>
      <c r="I25" s="15">
        <v>15827.64</v>
      </c>
      <c r="J25" s="121">
        <f t="shared" si="0"/>
        <v>329340.24</v>
      </c>
      <c r="K25" s="102"/>
    </row>
    <row r="26" spans="1:11" ht="11.25" customHeight="1" x14ac:dyDescent="0.25">
      <c r="A26" s="101" t="s">
        <v>209</v>
      </c>
      <c r="B26" s="13" t="s">
        <v>210</v>
      </c>
      <c r="C26" s="115" t="s">
        <v>174</v>
      </c>
      <c r="D26" s="14">
        <v>43550</v>
      </c>
      <c r="E26" s="14">
        <v>45100</v>
      </c>
      <c r="F26" s="15">
        <v>488962.91</v>
      </c>
      <c r="G26" s="15">
        <v>488962.91</v>
      </c>
      <c r="H26" s="12" t="s">
        <v>166</v>
      </c>
      <c r="I26" s="15">
        <v>288497</v>
      </c>
      <c r="J26" s="121">
        <f t="shared" si="0"/>
        <v>200465.90999999997</v>
      </c>
      <c r="K26" s="102"/>
    </row>
    <row r="27" spans="1:11" ht="11.25" customHeight="1" x14ac:dyDescent="0.25">
      <c r="A27" s="101" t="s">
        <v>211</v>
      </c>
      <c r="B27" s="13" t="s">
        <v>212</v>
      </c>
      <c r="C27" s="115" t="s">
        <v>174</v>
      </c>
      <c r="D27" s="14">
        <v>43510</v>
      </c>
      <c r="E27" s="148">
        <v>44944</v>
      </c>
      <c r="F27" s="15">
        <v>249214</v>
      </c>
      <c r="G27" s="15">
        <v>249214</v>
      </c>
      <c r="H27" s="12" t="s">
        <v>166</v>
      </c>
      <c r="I27" s="15">
        <v>217163.1</v>
      </c>
      <c r="J27" s="121">
        <f t="shared" si="0"/>
        <v>32050.899999999994</v>
      </c>
      <c r="K27" s="102"/>
    </row>
    <row r="28" spans="1:11" ht="11.25" customHeight="1" x14ac:dyDescent="0.25">
      <c r="A28" s="101" t="s">
        <v>213</v>
      </c>
      <c r="B28" s="13" t="s">
        <v>214</v>
      </c>
      <c r="C28" s="115" t="s">
        <v>174</v>
      </c>
      <c r="D28" s="14">
        <v>43510</v>
      </c>
      <c r="E28" s="14">
        <v>45090</v>
      </c>
      <c r="F28" s="15">
        <v>461550</v>
      </c>
      <c r="G28" s="15">
        <v>461550</v>
      </c>
      <c r="H28" s="12" t="s">
        <v>166</v>
      </c>
      <c r="I28" s="15">
        <v>461550</v>
      </c>
      <c r="J28" s="121">
        <f t="shared" si="0"/>
        <v>0</v>
      </c>
      <c r="K28" s="102"/>
    </row>
    <row r="29" spans="1:11" ht="11.25" customHeight="1" x14ac:dyDescent="0.25">
      <c r="A29" s="101" t="s">
        <v>215</v>
      </c>
      <c r="B29" s="13" t="s">
        <v>216</v>
      </c>
      <c r="C29" s="115" t="s">
        <v>174</v>
      </c>
      <c r="D29" s="14">
        <v>43649</v>
      </c>
      <c r="E29" s="14">
        <v>45126</v>
      </c>
      <c r="F29" s="15">
        <v>423850</v>
      </c>
      <c r="G29" s="15">
        <v>423850</v>
      </c>
      <c r="H29" s="12" t="s">
        <v>166</v>
      </c>
      <c r="I29" s="15">
        <v>423849.7</v>
      </c>
      <c r="J29" s="121">
        <f t="shared" si="0"/>
        <v>0.29999999998835847</v>
      </c>
      <c r="K29" s="102"/>
    </row>
    <row r="30" spans="1:11" ht="11.25" customHeight="1" x14ac:dyDescent="0.25">
      <c r="A30" s="101" t="s">
        <v>217</v>
      </c>
      <c r="B30" s="13" t="s">
        <v>218</v>
      </c>
      <c r="C30" s="115" t="s">
        <v>174</v>
      </c>
      <c r="D30" s="14">
        <v>43826</v>
      </c>
      <c r="E30" s="14">
        <v>45100</v>
      </c>
      <c r="F30" s="15">
        <v>284659.90000000002</v>
      </c>
      <c r="G30" s="15">
        <v>284659.90000000002</v>
      </c>
      <c r="H30" s="12" t="s">
        <v>166</v>
      </c>
      <c r="I30" s="15">
        <v>222034.72</v>
      </c>
      <c r="J30" s="121">
        <f t="shared" si="0"/>
        <v>62625.180000000022</v>
      </c>
      <c r="K30" s="102"/>
    </row>
    <row r="31" spans="1:11" ht="11.25" customHeight="1" x14ac:dyDescent="0.25">
      <c r="A31" s="101" t="s">
        <v>219</v>
      </c>
      <c r="B31" s="13" t="s">
        <v>220</v>
      </c>
      <c r="C31" s="115" t="s">
        <v>174</v>
      </c>
      <c r="D31" s="14">
        <v>43810</v>
      </c>
      <c r="E31" s="14">
        <v>45068</v>
      </c>
      <c r="F31" s="15">
        <v>319933.90999999997</v>
      </c>
      <c r="G31" s="15">
        <v>311298.19</v>
      </c>
      <c r="H31" s="12" t="s">
        <v>166</v>
      </c>
      <c r="I31" s="15">
        <v>40161.1</v>
      </c>
      <c r="J31" s="121">
        <f t="shared" si="0"/>
        <v>271137.09000000003</v>
      </c>
      <c r="K31" s="102"/>
    </row>
    <row r="32" spans="1:11" ht="11.25" customHeight="1" x14ac:dyDescent="0.25">
      <c r="A32" s="101" t="s">
        <v>221</v>
      </c>
      <c r="B32" s="13" t="s">
        <v>222</v>
      </c>
      <c r="C32" s="115" t="s">
        <v>174</v>
      </c>
      <c r="D32" s="14">
        <v>43775</v>
      </c>
      <c r="E32" s="14">
        <v>45321</v>
      </c>
      <c r="F32" s="15">
        <v>58562.239999999998</v>
      </c>
      <c r="G32" s="15">
        <v>58562.64</v>
      </c>
      <c r="H32" s="12"/>
      <c r="I32" s="15">
        <v>47025</v>
      </c>
      <c r="J32" s="121">
        <f t="shared" si="0"/>
        <v>11537.64</v>
      </c>
      <c r="K32" s="102"/>
    </row>
    <row r="33" spans="1:11" ht="11.25" customHeight="1" x14ac:dyDescent="0.25">
      <c r="A33" s="101" t="s">
        <v>223</v>
      </c>
      <c r="B33" s="13" t="s">
        <v>224</v>
      </c>
      <c r="C33" s="113" t="s">
        <v>176</v>
      </c>
      <c r="D33" s="14">
        <v>44676</v>
      </c>
      <c r="E33" s="14">
        <v>45205</v>
      </c>
      <c r="F33" s="15">
        <v>919708.05</v>
      </c>
      <c r="G33" s="15" t="s">
        <v>166</v>
      </c>
      <c r="H33" s="12" t="s">
        <v>166</v>
      </c>
      <c r="I33" s="15" t="s">
        <v>166</v>
      </c>
      <c r="J33" s="121">
        <f>F33</f>
        <v>919708.05</v>
      </c>
      <c r="K33" s="102"/>
    </row>
    <row r="34" spans="1:11" ht="11.25" customHeight="1" x14ac:dyDescent="0.25">
      <c r="A34" s="146" t="s">
        <v>225</v>
      </c>
      <c r="B34" s="147" t="s">
        <v>226</v>
      </c>
      <c r="C34" s="151" t="s">
        <v>174</v>
      </c>
      <c r="D34" s="148">
        <v>44531</v>
      </c>
      <c r="E34" s="148">
        <v>45104</v>
      </c>
      <c r="F34" s="121">
        <v>488086.48</v>
      </c>
      <c r="G34" s="121">
        <f>F34</f>
        <v>488086.48</v>
      </c>
      <c r="H34" s="12" t="s">
        <v>166</v>
      </c>
      <c r="I34" s="121">
        <v>334108.58</v>
      </c>
      <c r="J34" s="121">
        <f>G34-I34</f>
        <v>153977.89999999997</v>
      </c>
      <c r="K34" s="149"/>
    </row>
    <row r="35" spans="1:11" ht="11.25" customHeight="1" x14ac:dyDescent="0.25">
      <c r="A35" s="146" t="s">
        <v>227</v>
      </c>
      <c r="B35" s="147" t="s">
        <v>228</v>
      </c>
      <c r="C35" s="147" t="s">
        <v>229</v>
      </c>
      <c r="D35" s="148">
        <v>45121</v>
      </c>
      <c r="E35" s="12" t="s">
        <v>166</v>
      </c>
      <c r="F35" s="121">
        <v>939627.77</v>
      </c>
      <c r="G35" s="121">
        <f>F35</f>
        <v>939627.77</v>
      </c>
      <c r="H35" s="12" t="s">
        <v>166</v>
      </c>
      <c r="I35" s="12" t="s">
        <v>166</v>
      </c>
      <c r="J35" s="121">
        <f t="shared" ref="J35:J36" si="1">F35-G35</f>
        <v>0</v>
      </c>
      <c r="K35" s="150" t="s">
        <v>166</v>
      </c>
    </row>
    <row r="36" spans="1:11" ht="11.25" customHeight="1" x14ac:dyDescent="0.25">
      <c r="A36" s="146" t="s">
        <v>230</v>
      </c>
      <c r="B36" s="147" t="s">
        <v>231</v>
      </c>
      <c r="C36" s="147" t="s">
        <v>229</v>
      </c>
      <c r="D36" s="148">
        <v>45121</v>
      </c>
      <c r="E36" s="12" t="s">
        <v>166</v>
      </c>
      <c r="F36" s="121">
        <v>3574038.11</v>
      </c>
      <c r="G36" s="121">
        <f>F36</f>
        <v>3574038.11</v>
      </c>
      <c r="H36" s="12" t="s">
        <v>166</v>
      </c>
      <c r="I36" s="12" t="s">
        <v>166</v>
      </c>
      <c r="J36" s="121">
        <f t="shared" si="1"/>
        <v>0</v>
      </c>
      <c r="K36" s="150" t="s">
        <v>166</v>
      </c>
    </row>
    <row r="37" spans="1:11" ht="11.25" customHeight="1" x14ac:dyDescent="0.25">
      <c r="A37" s="146" t="s">
        <v>232</v>
      </c>
      <c r="B37" s="147" t="s">
        <v>166</v>
      </c>
      <c r="C37" s="113" t="s">
        <v>176</v>
      </c>
      <c r="D37" s="148" t="s">
        <v>166</v>
      </c>
      <c r="E37" s="148">
        <v>45141</v>
      </c>
      <c r="F37" s="121">
        <v>184003.71</v>
      </c>
      <c r="G37" s="12" t="s">
        <v>166</v>
      </c>
      <c r="H37" s="12" t="s">
        <v>166</v>
      </c>
      <c r="I37" s="12" t="s">
        <v>166</v>
      </c>
      <c r="J37" s="121" t="s">
        <v>166</v>
      </c>
      <c r="K37" s="150" t="s">
        <v>166</v>
      </c>
    </row>
    <row r="38" spans="1:11" ht="11.25" customHeight="1" x14ac:dyDescent="0.25">
      <c r="A38" s="146" t="s">
        <v>233</v>
      </c>
      <c r="B38" s="147" t="s">
        <v>234</v>
      </c>
      <c r="C38" s="147" t="s">
        <v>229</v>
      </c>
      <c r="D38" s="148">
        <v>45127</v>
      </c>
      <c r="E38" s="12" t="s">
        <v>166</v>
      </c>
      <c r="F38" s="121">
        <v>236795.13</v>
      </c>
      <c r="G38" s="121">
        <f>F38</f>
        <v>236795.13</v>
      </c>
      <c r="H38" s="12" t="s">
        <v>166</v>
      </c>
      <c r="I38" s="12" t="s">
        <v>166</v>
      </c>
      <c r="J38" s="121" t="s">
        <v>166</v>
      </c>
      <c r="K38" s="150" t="s">
        <v>166</v>
      </c>
    </row>
    <row r="39" spans="1:11" ht="11.25" customHeight="1" x14ac:dyDescent="0.25">
      <c r="A39" s="146" t="s">
        <v>235</v>
      </c>
      <c r="B39" s="147" t="s">
        <v>236</v>
      </c>
      <c r="C39" s="147" t="s">
        <v>229</v>
      </c>
      <c r="D39" s="148">
        <v>45134</v>
      </c>
      <c r="E39" s="12" t="s">
        <v>166</v>
      </c>
      <c r="F39" s="121">
        <v>265938.40000000002</v>
      </c>
      <c r="G39" s="121">
        <f t="shared" ref="G39:G65" si="2">F39</f>
        <v>265938.40000000002</v>
      </c>
      <c r="H39" s="12" t="s">
        <v>166</v>
      </c>
      <c r="I39" s="12" t="s">
        <v>166</v>
      </c>
      <c r="J39" s="121" t="s">
        <v>166</v>
      </c>
      <c r="K39" s="150" t="s">
        <v>166</v>
      </c>
    </row>
    <row r="40" spans="1:11" ht="11.25" customHeight="1" x14ac:dyDescent="0.25">
      <c r="A40" s="146" t="s">
        <v>237</v>
      </c>
      <c r="B40" s="147" t="s">
        <v>238</v>
      </c>
      <c r="C40" s="147" t="s">
        <v>229</v>
      </c>
      <c r="D40" s="148">
        <v>45121</v>
      </c>
      <c r="E40" s="12" t="s">
        <v>166</v>
      </c>
      <c r="F40" s="121">
        <v>249010.4</v>
      </c>
      <c r="G40" s="121">
        <f t="shared" si="2"/>
        <v>249010.4</v>
      </c>
      <c r="H40" s="12" t="s">
        <v>166</v>
      </c>
      <c r="I40" s="12" t="s">
        <v>166</v>
      </c>
      <c r="J40" s="121" t="s">
        <v>166</v>
      </c>
      <c r="K40" s="150" t="s">
        <v>166</v>
      </c>
    </row>
    <row r="41" spans="1:11" ht="11.25" customHeight="1" x14ac:dyDescent="0.25">
      <c r="A41" s="146" t="s">
        <v>239</v>
      </c>
      <c r="B41" s="147" t="s">
        <v>240</v>
      </c>
      <c r="C41" s="147" t="s">
        <v>229</v>
      </c>
      <c r="D41" s="148">
        <v>45126</v>
      </c>
      <c r="E41" s="12" t="s">
        <v>166</v>
      </c>
      <c r="F41" s="121">
        <v>313382</v>
      </c>
      <c r="G41" s="121">
        <v>311706.84000000003</v>
      </c>
      <c r="H41" s="12" t="s">
        <v>166</v>
      </c>
      <c r="I41" s="12" t="s">
        <v>166</v>
      </c>
      <c r="J41" s="121">
        <f t="shared" ref="J38:J41" si="3">F41-G41</f>
        <v>1675.1599999999744</v>
      </c>
      <c r="K41" s="150" t="s">
        <v>166</v>
      </c>
    </row>
    <row r="42" spans="1:11" ht="11.25" customHeight="1" x14ac:dyDescent="0.25">
      <c r="A42" s="146" t="s">
        <v>241</v>
      </c>
      <c r="B42" s="147" t="s">
        <v>242</v>
      </c>
      <c r="C42" s="147" t="s">
        <v>229</v>
      </c>
      <c r="D42" s="148">
        <v>45128</v>
      </c>
      <c r="E42" s="12" t="s">
        <v>166</v>
      </c>
      <c r="F42" s="121">
        <v>1892225.76</v>
      </c>
      <c r="G42" s="121">
        <v>1782257.76</v>
      </c>
      <c r="H42" s="12" t="s">
        <v>166</v>
      </c>
      <c r="I42" s="12" t="s">
        <v>166</v>
      </c>
      <c r="J42" s="121">
        <f>F42-G42</f>
        <v>109968</v>
      </c>
      <c r="K42" s="150" t="s">
        <v>166</v>
      </c>
    </row>
    <row r="43" spans="1:11" ht="11.25" customHeight="1" x14ac:dyDescent="0.25">
      <c r="A43" s="146" t="s">
        <v>243</v>
      </c>
      <c r="B43" s="147" t="s">
        <v>244</v>
      </c>
      <c r="C43" s="152" t="s">
        <v>245</v>
      </c>
      <c r="D43" s="148">
        <v>45117</v>
      </c>
      <c r="E43" s="12" t="s">
        <v>166</v>
      </c>
      <c r="F43" s="121">
        <v>343764.54</v>
      </c>
      <c r="G43" s="121">
        <f t="shared" si="2"/>
        <v>343764.54</v>
      </c>
      <c r="H43" s="12" t="s">
        <v>166</v>
      </c>
      <c r="I43" s="12" t="s">
        <v>166</v>
      </c>
      <c r="J43" s="121" t="s">
        <v>166</v>
      </c>
      <c r="K43" s="150" t="s">
        <v>166</v>
      </c>
    </row>
    <row r="44" spans="1:11" ht="11.25" customHeight="1" x14ac:dyDescent="0.25">
      <c r="A44" s="146" t="s">
        <v>246</v>
      </c>
      <c r="B44" s="147" t="s">
        <v>247</v>
      </c>
      <c r="C44" s="147" t="s">
        <v>229</v>
      </c>
      <c r="D44" s="148">
        <v>45121</v>
      </c>
      <c r="E44" s="12" t="s">
        <v>166</v>
      </c>
      <c r="F44" s="121">
        <v>610783.5</v>
      </c>
      <c r="G44" s="121">
        <f t="shared" si="2"/>
        <v>610783.5</v>
      </c>
      <c r="H44" s="12" t="s">
        <v>166</v>
      </c>
      <c r="I44" s="12" t="s">
        <v>166</v>
      </c>
      <c r="J44" s="121" t="s">
        <v>166</v>
      </c>
      <c r="K44" s="150" t="s">
        <v>166</v>
      </c>
    </row>
    <row r="45" spans="1:11" ht="11.25" customHeight="1" x14ac:dyDescent="0.25">
      <c r="A45" s="146" t="s">
        <v>248</v>
      </c>
      <c r="B45" s="147" t="s">
        <v>249</v>
      </c>
      <c r="C45" s="147" t="s">
        <v>229</v>
      </c>
      <c r="D45" s="148">
        <v>45121</v>
      </c>
      <c r="E45" s="12" t="s">
        <v>166</v>
      </c>
      <c r="F45" s="121">
        <v>3973416.56</v>
      </c>
      <c r="G45" s="121">
        <f t="shared" si="2"/>
        <v>3973416.56</v>
      </c>
      <c r="H45" s="12" t="s">
        <v>166</v>
      </c>
      <c r="I45" s="12" t="s">
        <v>166</v>
      </c>
      <c r="J45" s="121" t="s">
        <v>166</v>
      </c>
      <c r="K45" s="150" t="s">
        <v>166</v>
      </c>
    </row>
    <row r="46" spans="1:11" ht="11.25" customHeight="1" x14ac:dyDescent="0.25">
      <c r="A46" s="146" t="s">
        <v>250</v>
      </c>
      <c r="B46" s="147" t="s">
        <v>251</v>
      </c>
      <c r="C46" s="147" t="s">
        <v>229</v>
      </c>
      <c r="D46" s="148">
        <v>45128</v>
      </c>
      <c r="E46" s="12" t="s">
        <v>166</v>
      </c>
      <c r="F46" s="121">
        <v>280000</v>
      </c>
      <c r="G46" s="121">
        <f t="shared" si="2"/>
        <v>280000</v>
      </c>
      <c r="H46" s="12" t="s">
        <v>166</v>
      </c>
      <c r="I46" s="12" t="s">
        <v>166</v>
      </c>
      <c r="J46" s="121" t="s">
        <v>166</v>
      </c>
      <c r="K46" s="150" t="s">
        <v>166</v>
      </c>
    </row>
    <row r="47" spans="1:11" ht="11.25" customHeight="1" x14ac:dyDescent="0.25">
      <c r="A47" s="146" t="s">
        <v>252</v>
      </c>
      <c r="B47" s="147" t="s">
        <v>253</v>
      </c>
      <c r="C47" s="147" t="s">
        <v>229</v>
      </c>
      <c r="D47" s="148">
        <v>45117</v>
      </c>
      <c r="E47" s="12" t="s">
        <v>166</v>
      </c>
      <c r="F47" s="121">
        <v>638966.94999999995</v>
      </c>
      <c r="G47" s="121">
        <f t="shared" si="2"/>
        <v>638966.94999999995</v>
      </c>
      <c r="H47" s="12" t="s">
        <v>166</v>
      </c>
      <c r="I47" s="12" t="s">
        <v>166</v>
      </c>
      <c r="J47" s="121" t="s">
        <v>166</v>
      </c>
      <c r="K47" s="149">
        <f>G47</f>
        <v>638966.94999999995</v>
      </c>
    </row>
    <row r="48" spans="1:11" ht="11.25" customHeight="1" x14ac:dyDescent="0.25">
      <c r="A48" s="146" t="s">
        <v>254</v>
      </c>
      <c r="B48" s="147" t="s">
        <v>255</v>
      </c>
      <c r="C48" s="147" t="s">
        <v>229</v>
      </c>
      <c r="D48" s="148">
        <v>45121</v>
      </c>
      <c r="E48" s="12" t="s">
        <v>166</v>
      </c>
      <c r="F48" s="121">
        <v>557312.31999999995</v>
      </c>
      <c r="G48" s="121">
        <f t="shared" si="2"/>
        <v>557312.31999999995</v>
      </c>
      <c r="H48" s="12" t="s">
        <v>166</v>
      </c>
      <c r="I48" s="12" t="s">
        <v>166</v>
      </c>
      <c r="J48" s="121" t="s">
        <v>166</v>
      </c>
      <c r="K48" s="149">
        <f t="shared" ref="K48:K66" si="4">G48</f>
        <v>557312.31999999995</v>
      </c>
    </row>
    <row r="49" spans="1:11" ht="11.25" customHeight="1" x14ac:dyDescent="0.25">
      <c r="A49" s="101" t="s">
        <v>256</v>
      </c>
      <c r="B49" s="13" t="s">
        <v>257</v>
      </c>
      <c r="C49" s="13" t="s">
        <v>229</v>
      </c>
      <c r="D49" s="14">
        <v>45169</v>
      </c>
      <c r="E49" s="12" t="s">
        <v>166</v>
      </c>
      <c r="F49" s="15">
        <v>460023.2</v>
      </c>
      <c r="G49" s="15">
        <f t="shared" si="2"/>
        <v>460023.2</v>
      </c>
      <c r="H49" s="12" t="s">
        <v>166</v>
      </c>
      <c r="I49" s="12" t="s">
        <v>166</v>
      </c>
      <c r="J49" s="15" t="s">
        <v>166</v>
      </c>
      <c r="K49" s="102">
        <f t="shared" si="4"/>
        <v>460023.2</v>
      </c>
    </row>
    <row r="50" spans="1:11" ht="11.25" customHeight="1" x14ac:dyDescent="0.25">
      <c r="A50" s="101" t="s">
        <v>258</v>
      </c>
      <c r="B50" s="13" t="s">
        <v>259</v>
      </c>
      <c r="C50" s="13" t="s">
        <v>229</v>
      </c>
      <c r="D50" s="14">
        <v>45183</v>
      </c>
      <c r="E50" s="12" t="s">
        <v>166</v>
      </c>
      <c r="F50" s="15">
        <v>2499823.6800000002</v>
      </c>
      <c r="G50" s="15">
        <f t="shared" si="2"/>
        <v>2499823.6800000002</v>
      </c>
      <c r="H50" s="12" t="s">
        <v>166</v>
      </c>
      <c r="I50" s="12" t="s">
        <v>166</v>
      </c>
      <c r="J50" s="15" t="s">
        <v>166</v>
      </c>
      <c r="K50" s="102">
        <f t="shared" si="4"/>
        <v>2499823.6800000002</v>
      </c>
    </row>
    <row r="51" spans="1:11" ht="11.25" customHeight="1" x14ac:dyDescent="0.25">
      <c r="A51" s="101" t="s">
        <v>260</v>
      </c>
      <c r="B51" s="13" t="s">
        <v>261</v>
      </c>
      <c r="C51" s="13" t="s">
        <v>229</v>
      </c>
      <c r="D51" s="14">
        <v>45238</v>
      </c>
      <c r="E51" s="12" t="s">
        <v>166</v>
      </c>
      <c r="F51" s="15">
        <v>879813.02</v>
      </c>
      <c r="G51" s="15">
        <f t="shared" si="2"/>
        <v>879813.02</v>
      </c>
      <c r="H51" s="12" t="s">
        <v>166</v>
      </c>
      <c r="I51" s="12" t="s">
        <v>166</v>
      </c>
      <c r="J51" s="15" t="s">
        <v>166</v>
      </c>
      <c r="K51" s="102">
        <f t="shared" si="4"/>
        <v>879813.02</v>
      </c>
    </row>
    <row r="52" spans="1:11" ht="11.25" customHeight="1" x14ac:dyDescent="0.25">
      <c r="A52" s="101" t="s">
        <v>262</v>
      </c>
      <c r="B52" s="13" t="s">
        <v>263</v>
      </c>
      <c r="C52" s="13" t="s">
        <v>229</v>
      </c>
      <c r="D52" s="14">
        <v>45169</v>
      </c>
      <c r="E52" s="12" t="s">
        <v>166</v>
      </c>
      <c r="F52" s="15">
        <v>234586.36</v>
      </c>
      <c r="G52" s="15">
        <f t="shared" si="2"/>
        <v>234586.36</v>
      </c>
      <c r="H52" s="12" t="s">
        <v>166</v>
      </c>
      <c r="I52" s="12" t="s">
        <v>166</v>
      </c>
      <c r="J52" s="15" t="s">
        <v>166</v>
      </c>
      <c r="K52" s="102">
        <f t="shared" si="4"/>
        <v>234586.36</v>
      </c>
    </row>
    <row r="53" spans="1:11" ht="11.25" customHeight="1" x14ac:dyDescent="0.25">
      <c r="A53" s="101" t="s">
        <v>264</v>
      </c>
      <c r="B53" s="13" t="s">
        <v>265</v>
      </c>
      <c r="C53" s="13" t="s">
        <v>229</v>
      </c>
      <c r="D53" s="14">
        <v>45190</v>
      </c>
      <c r="E53" s="12" t="s">
        <v>166</v>
      </c>
      <c r="F53" s="15">
        <v>953074.8</v>
      </c>
      <c r="G53" s="15">
        <v>953079.97</v>
      </c>
      <c r="H53" s="12" t="s">
        <v>166</v>
      </c>
      <c r="I53" s="12" t="s">
        <v>166</v>
      </c>
      <c r="J53" s="15" t="s">
        <v>166</v>
      </c>
      <c r="K53" s="102">
        <f t="shared" si="4"/>
        <v>953079.97</v>
      </c>
    </row>
    <row r="54" spans="1:11" ht="11.25" customHeight="1" x14ac:dyDescent="0.25">
      <c r="A54" s="101" t="s">
        <v>266</v>
      </c>
      <c r="B54" s="13" t="s">
        <v>267</v>
      </c>
      <c r="C54" s="13" t="s">
        <v>229</v>
      </c>
      <c r="D54" s="14">
        <v>45174</v>
      </c>
      <c r="E54" s="12" t="s">
        <v>166</v>
      </c>
      <c r="F54" s="15">
        <v>927682.84</v>
      </c>
      <c r="G54" s="15">
        <f t="shared" si="2"/>
        <v>927682.84</v>
      </c>
      <c r="H54" s="12" t="s">
        <v>166</v>
      </c>
      <c r="I54" s="12" t="s">
        <v>166</v>
      </c>
      <c r="J54" s="15" t="s">
        <v>166</v>
      </c>
      <c r="K54" s="102">
        <f t="shared" si="4"/>
        <v>927682.84</v>
      </c>
    </row>
    <row r="55" spans="1:11" ht="11.25" customHeight="1" x14ac:dyDescent="0.25">
      <c r="A55" s="101" t="s">
        <v>268</v>
      </c>
      <c r="B55" s="13" t="s">
        <v>166</v>
      </c>
      <c r="C55" s="114" t="s">
        <v>176</v>
      </c>
      <c r="D55" s="14" t="s">
        <v>166</v>
      </c>
      <c r="E55" s="14">
        <v>45225</v>
      </c>
      <c r="F55" s="15">
        <v>226958.81</v>
      </c>
      <c r="G55" s="12" t="s">
        <v>166</v>
      </c>
      <c r="H55" s="12" t="s">
        <v>166</v>
      </c>
      <c r="I55" s="12" t="s">
        <v>166</v>
      </c>
      <c r="J55" s="15"/>
      <c r="K55" s="102"/>
    </row>
    <row r="56" spans="1:11" ht="11.25" customHeight="1" x14ac:dyDescent="0.25">
      <c r="A56" s="101" t="s">
        <v>269</v>
      </c>
      <c r="B56" s="13" t="s">
        <v>270</v>
      </c>
      <c r="C56" s="13" t="s">
        <v>229</v>
      </c>
      <c r="D56" s="14">
        <v>45183</v>
      </c>
      <c r="E56" s="12" t="s">
        <v>166</v>
      </c>
      <c r="F56" s="15">
        <v>2312654.04</v>
      </c>
      <c r="G56" s="15">
        <f t="shared" si="2"/>
        <v>2312654.04</v>
      </c>
      <c r="H56" s="12" t="s">
        <v>166</v>
      </c>
      <c r="I56" s="12" t="s">
        <v>166</v>
      </c>
      <c r="J56" s="15" t="s">
        <v>166</v>
      </c>
      <c r="K56" s="102">
        <f t="shared" si="4"/>
        <v>2312654.04</v>
      </c>
    </row>
    <row r="57" spans="1:11" ht="11.25" customHeight="1" x14ac:dyDescent="0.25">
      <c r="A57" s="101" t="s">
        <v>271</v>
      </c>
      <c r="B57" s="13" t="s">
        <v>272</v>
      </c>
      <c r="C57" s="13" t="s">
        <v>229</v>
      </c>
      <c r="D57" s="14">
        <v>45209</v>
      </c>
      <c r="E57" s="12" t="s">
        <v>166</v>
      </c>
      <c r="F57" s="15">
        <v>2519067.02</v>
      </c>
      <c r="G57" s="15">
        <v>2402759.14</v>
      </c>
      <c r="H57" s="12" t="s">
        <v>166</v>
      </c>
      <c r="I57" s="12" t="s">
        <v>166</v>
      </c>
      <c r="J57" s="15" t="s">
        <v>166</v>
      </c>
      <c r="K57" s="102">
        <f t="shared" si="4"/>
        <v>2402759.14</v>
      </c>
    </row>
    <row r="58" spans="1:11" ht="11.25" customHeight="1" x14ac:dyDescent="0.25">
      <c r="A58" s="101" t="s">
        <v>273</v>
      </c>
      <c r="B58" s="13" t="s">
        <v>274</v>
      </c>
      <c r="C58" s="13" t="s">
        <v>229</v>
      </c>
      <c r="D58" s="14">
        <v>45209</v>
      </c>
      <c r="E58" s="12" t="s">
        <v>166</v>
      </c>
      <c r="F58" s="15">
        <v>2658260.3199999998</v>
      </c>
      <c r="G58" s="15">
        <f t="shared" si="2"/>
        <v>2658260.3199999998</v>
      </c>
      <c r="H58" s="12" t="s">
        <v>166</v>
      </c>
      <c r="I58" s="12" t="s">
        <v>166</v>
      </c>
      <c r="J58" s="15" t="s">
        <v>166</v>
      </c>
      <c r="K58" s="102">
        <f t="shared" si="4"/>
        <v>2658260.3199999998</v>
      </c>
    </row>
    <row r="59" spans="1:11" ht="11.25" customHeight="1" x14ac:dyDescent="0.25">
      <c r="A59" s="101" t="s">
        <v>275</v>
      </c>
      <c r="B59" s="13" t="s">
        <v>276</v>
      </c>
      <c r="C59" s="13" t="s">
        <v>229</v>
      </c>
      <c r="D59" s="14">
        <v>45169</v>
      </c>
      <c r="E59" s="12" t="s">
        <v>166</v>
      </c>
      <c r="F59" s="15">
        <v>1416712.92</v>
      </c>
      <c r="G59" s="15">
        <f t="shared" si="2"/>
        <v>1416712.92</v>
      </c>
      <c r="H59" s="12" t="s">
        <v>166</v>
      </c>
      <c r="I59" s="12" t="s">
        <v>166</v>
      </c>
      <c r="J59" s="15" t="s">
        <v>166</v>
      </c>
      <c r="K59" s="102">
        <f t="shared" si="4"/>
        <v>1416712.92</v>
      </c>
    </row>
    <row r="60" spans="1:11" ht="11.25" customHeight="1" x14ac:dyDescent="0.25">
      <c r="A60" s="101" t="s">
        <v>277</v>
      </c>
      <c r="B60" s="13" t="s">
        <v>278</v>
      </c>
      <c r="C60" s="13" t="s">
        <v>229</v>
      </c>
      <c r="D60" s="14">
        <v>45204</v>
      </c>
      <c r="E60" s="12" t="s">
        <v>166</v>
      </c>
      <c r="F60" s="15">
        <v>900722.54</v>
      </c>
      <c r="G60" s="15">
        <f t="shared" si="2"/>
        <v>900722.54</v>
      </c>
      <c r="H60" s="12" t="s">
        <v>166</v>
      </c>
      <c r="I60" s="12" t="s">
        <v>166</v>
      </c>
      <c r="J60" s="15" t="s">
        <v>166</v>
      </c>
      <c r="K60" s="102">
        <f t="shared" si="4"/>
        <v>900722.54</v>
      </c>
    </row>
    <row r="61" spans="1:11" ht="11.25" customHeight="1" x14ac:dyDescent="0.25">
      <c r="A61" s="101" t="s">
        <v>279</v>
      </c>
      <c r="B61" s="13" t="s">
        <v>280</v>
      </c>
      <c r="C61" s="13" t="s">
        <v>229</v>
      </c>
      <c r="D61" s="14">
        <v>45173</v>
      </c>
      <c r="E61" s="12" t="s">
        <v>166</v>
      </c>
      <c r="F61" s="15">
        <v>218949.97</v>
      </c>
      <c r="G61" s="15">
        <f t="shared" si="2"/>
        <v>218949.97</v>
      </c>
      <c r="H61" s="12" t="s">
        <v>166</v>
      </c>
      <c r="I61" s="12" t="s">
        <v>166</v>
      </c>
      <c r="J61" s="15" t="s">
        <v>166</v>
      </c>
      <c r="K61" s="102">
        <f t="shared" si="4"/>
        <v>218949.97</v>
      </c>
    </row>
    <row r="62" spans="1:11" ht="11.25" customHeight="1" x14ac:dyDescent="0.25">
      <c r="A62" s="101" t="s">
        <v>281</v>
      </c>
      <c r="B62" s="13" t="s">
        <v>282</v>
      </c>
      <c r="C62" s="13" t="s">
        <v>229</v>
      </c>
      <c r="D62" s="14">
        <v>45275</v>
      </c>
      <c r="E62" s="12" t="s">
        <v>166</v>
      </c>
      <c r="F62" s="15">
        <v>297399</v>
      </c>
      <c r="G62" s="15">
        <f t="shared" si="2"/>
        <v>297399</v>
      </c>
      <c r="H62" s="12" t="s">
        <v>166</v>
      </c>
      <c r="I62" s="12" t="s">
        <v>166</v>
      </c>
      <c r="J62" s="15" t="s">
        <v>166</v>
      </c>
      <c r="K62" s="102">
        <f t="shared" si="4"/>
        <v>297399</v>
      </c>
    </row>
    <row r="63" spans="1:11" ht="11.25" customHeight="1" x14ac:dyDescent="0.25">
      <c r="A63" s="101" t="s">
        <v>283</v>
      </c>
      <c r="B63" s="13" t="s">
        <v>284</v>
      </c>
      <c r="C63" s="13" t="s">
        <v>229</v>
      </c>
      <c r="D63" s="14">
        <v>45257</v>
      </c>
      <c r="E63" s="12" t="s">
        <v>166</v>
      </c>
      <c r="F63" s="15">
        <v>647334.46</v>
      </c>
      <c r="G63" s="15">
        <v>647334.43999999994</v>
      </c>
      <c r="H63" s="12" t="s">
        <v>166</v>
      </c>
      <c r="I63" s="12" t="s">
        <v>166</v>
      </c>
      <c r="J63" s="15" t="s">
        <v>166</v>
      </c>
      <c r="K63" s="102">
        <f t="shared" si="4"/>
        <v>647334.43999999994</v>
      </c>
    </row>
    <row r="64" spans="1:11" ht="11.25" customHeight="1" x14ac:dyDescent="0.25">
      <c r="A64" s="101" t="s">
        <v>285</v>
      </c>
      <c r="B64" s="13" t="s">
        <v>286</v>
      </c>
      <c r="C64" s="13" t="s">
        <v>229</v>
      </c>
      <c r="D64" s="14">
        <v>45225</v>
      </c>
      <c r="E64" s="12" t="s">
        <v>166</v>
      </c>
      <c r="F64" s="15">
        <v>612136.80000000005</v>
      </c>
      <c r="G64" s="15">
        <f t="shared" si="2"/>
        <v>612136.80000000005</v>
      </c>
      <c r="H64" s="12" t="s">
        <v>166</v>
      </c>
      <c r="I64" s="12" t="s">
        <v>166</v>
      </c>
      <c r="J64" s="15" t="s">
        <v>166</v>
      </c>
      <c r="K64" s="102">
        <f t="shared" si="4"/>
        <v>612136.80000000005</v>
      </c>
    </row>
    <row r="65" spans="1:11" ht="11.25" customHeight="1" x14ac:dyDescent="0.25">
      <c r="A65" s="101" t="s">
        <v>287</v>
      </c>
      <c r="B65" s="13" t="s">
        <v>288</v>
      </c>
      <c r="C65" s="13" t="s">
        <v>229</v>
      </c>
      <c r="D65" s="14">
        <v>45225</v>
      </c>
      <c r="E65" s="12" t="s">
        <v>166</v>
      </c>
      <c r="F65" s="15">
        <v>416025</v>
      </c>
      <c r="G65" s="15">
        <f t="shared" si="2"/>
        <v>416025</v>
      </c>
      <c r="H65" s="12" t="s">
        <v>166</v>
      </c>
      <c r="I65" s="12" t="s">
        <v>166</v>
      </c>
      <c r="J65" s="15" t="s">
        <v>166</v>
      </c>
      <c r="K65" s="102">
        <f t="shared" si="4"/>
        <v>416025</v>
      </c>
    </row>
    <row r="66" spans="1:11" ht="11.25" customHeight="1" x14ac:dyDescent="0.25">
      <c r="A66" s="101" t="s">
        <v>289</v>
      </c>
      <c r="B66" s="13" t="s">
        <v>166</v>
      </c>
      <c r="C66" s="113" t="s">
        <v>176</v>
      </c>
      <c r="D66" s="14" t="s">
        <v>166</v>
      </c>
      <c r="E66" s="14">
        <v>45309</v>
      </c>
      <c r="F66" s="15">
        <v>892631</v>
      </c>
      <c r="G66" s="12" t="s">
        <v>166</v>
      </c>
      <c r="H66" s="12" t="s">
        <v>166</v>
      </c>
      <c r="I66" s="12" t="s">
        <v>166</v>
      </c>
      <c r="J66" s="15" t="s">
        <v>166</v>
      </c>
      <c r="K66" s="102" t="str">
        <f t="shared" si="4"/>
        <v>-</v>
      </c>
    </row>
    <row r="67" spans="1:11" ht="11.25" customHeight="1" x14ac:dyDescent="0.25">
      <c r="A67" s="101" t="s">
        <v>290</v>
      </c>
      <c r="B67" s="13" t="s">
        <v>291</v>
      </c>
      <c r="C67" s="13" t="s">
        <v>229</v>
      </c>
      <c r="D67" s="14">
        <v>45251</v>
      </c>
      <c r="E67" s="12" t="s">
        <v>166</v>
      </c>
      <c r="F67" s="15">
        <v>434485.8</v>
      </c>
      <c r="G67" s="15">
        <v>434215.32</v>
      </c>
      <c r="H67" s="12" t="s">
        <v>166</v>
      </c>
      <c r="I67" s="12" t="s">
        <v>166</v>
      </c>
      <c r="J67" s="15" t="s">
        <v>166</v>
      </c>
      <c r="K67" s="102">
        <f>G67</f>
        <v>434215.32</v>
      </c>
    </row>
    <row r="68" spans="1:11" x14ac:dyDescent="0.25">
      <c r="A68" s="173" t="s">
        <v>292</v>
      </c>
      <c r="B68" s="170"/>
      <c r="C68" s="170"/>
      <c r="D68" s="170"/>
      <c r="E68" s="170"/>
      <c r="F68" s="170"/>
      <c r="G68" s="170"/>
      <c r="H68" s="170"/>
      <c r="I68" s="170"/>
      <c r="J68" s="95">
        <f>SUM(J16:J67)</f>
        <v>2637470.94</v>
      </c>
      <c r="K68" s="95">
        <f>SUM(K16:K67)</f>
        <v>19468457.830000002</v>
      </c>
    </row>
    <row r="69" spans="1:11" ht="15.75" customHeight="1" thickBot="1" x14ac:dyDescent="0.3">
      <c r="A69" s="174"/>
      <c r="B69" s="175"/>
      <c r="C69" s="175"/>
      <c r="D69" s="175"/>
      <c r="E69" s="175"/>
      <c r="F69" s="175"/>
      <c r="G69" s="175"/>
      <c r="H69" s="175"/>
      <c r="I69" s="175"/>
      <c r="J69" s="165">
        <f>J68-K68</f>
        <v>-16830986.890000001</v>
      </c>
      <c r="K69" s="166"/>
    </row>
    <row r="70" spans="1:11" ht="22.5" x14ac:dyDescent="0.25">
      <c r="B70" s="120" t="s">
        <v>293</v>
      </c>
    </row>
  </sheetData>
  <mergeCells count="24">
    <mergeCell ref="B9:E9"/>
    <mergeCell ref="B10:E10"/>
    <mergeCell ref="F9:G9"/>
    <mergeCell ref="A1:K1"/>
    <mergeCell ref="A2:K2"/>
    <mergeCell ref="A3:K3"/>
    <mergeCell ref="B6:E6"/>
    <mergeCell ref="F6:G6"/>
    <mergeCell ref="J69:K69"/>
    <mergeCell ref="A5:K5"/>
    <mergeCell ref="H6:J6"/>
    <mergeCell ref="H7:J7"/>
    <mergeCell ref="H8:J8"/>
    <mergeCell ref="H9:J9"/>
    <mergeCell ref="H10:J10"/>
    <mergeCell ref="H11:J11"/>
    <mergeCell ref="A68:I69"/>
    <mergeCell ref="B11:E11"/>
    <mergeCell ref="F10:G10"/>
    <mergeCell ref="F7:G7"/>
    <mergeCell ref="F8:G8"/>
    <mergeCell ref="F11:G11"/>
    <mergeCell ref="B7:E7"/>
    <mergeCell ref="B8:E8"/>
  </mergeCells>
  <pageMargins left="0.62992125984251968" right="0.39370078740157483" top="0.70866141732283472" bottom="0.19685039370078741" header="0.47244094488188981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Relatório Arrecadação 2023</vt:lpstr>
      <vt:lpstr>Plano de Aplicação</vt:lpstr>
      <vt:lpstr>Plano de Custeio </vt:lpstr>
      <vt:lpstr>Memória de cálculo Invest </vt:lpstr>
      <vt:lpstr>'Plano de Custeio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Miramar de Souza Almeida</dc:creator>
  <cp:keywords/>
  <dc:description/>
  <cp:lastModifiedBy>Natália Zanetti</cp:lastModifiedBy>
  <cp:revision/>
  <dcterms:created xsi:type="dcterms:W3CDTF">2015-08-25T14:37:43Z</dcterms:created>
  <dcterms:modified xsi:type="dcterms:W3CDTF">2024-02-16T16:13:12Z</dcterms:modified>
  <cp:category/>
  <cp:contentStatus/>
</cp:coreProperties>
</file>